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tabRatio="660" firstSheet="1" activeTab="3"/>
  </bookViews>
  <sheets>
    <sheet name="iWoHK" sheetId="1" r:id="rId1"/>
    <sheet name="iWoDat" sheetId="2" r:id="rId2"/>
    <sheet name="iWoTab" sheetId="3" r:id="rId3"/>
    <sheet name="iWoSt" sheetId="4" r:id="rId4"/>
    <sheet name="iWoDarl" sheetId="5" r:id="rId5"/>
  </sheets>
  <definedNames/>
  <calcPr fullCalcOnLoad="1"/>
</workbook>
</file>

<file path=xl/sharedStrings.xml><?xml version="1.0" encoding="utf-8"?>
<sst xmlns="http://schemas.openxmlformats.org/spreadsheetml/2006/main" count="120" uniqueCount="107">
  <si>
    <t>IKV</t>
  </si>
  <si>
    <t>45 TG-Stellplätze</t>
  </si>
  <si>
    <t>9 zusätzliche TG-Stellplätze</t>
  </si>
  <si>
    <t>gesamt:</t>
  </si>
  <si>
    <t>Aufstellung der Kosten</t>
  </si>
  <si>
    <t>0100 Grundstück</t>
  </si>
  <si>
    <t>0200 Herrichten und Erschließen des Grundstücks</t>
  </si>
  <si>
    <t>0300 Bauwerk</t>
  </si>
  <si>
    <t>0400 Gerätekosten</t>
  </si>
  <si>
    <t>0500 Außenanlagen</t>
  </si>
  <si>
    <t>gesamte Fremdkosten</t>
  </si>
  <si>
    <t>Werbung</t>
  </si>
  <si>
    <t>Grundstückszinsen</t>
  </si>
  <si>
    <t>Bauzeitzinsen</t>
  </si>
  <si>
    <t>PKW-Stellplätze</t>
  </si>
  <si>
    <t>HK je Einheit</t>
  </si>
  <si>
    <t>HK je Kostenart</t>
  </si>
  <si>
    <t>pro qm Wfl.</t>
  </si>
  <si>
    <t>in vH der GK</t>
  </si>
  <si>
    <t>0700 Baunebenkosten</t>
  </si>
  <si>
    <t>Gemeinkostenzuschlag</t>
  </si>
  <si>
    <t>Herstellungskosten ohne Stellplätze</t>
  </si>
  <si>
    <t>Kostenart</t>
  </si>
  <si>
    <t>Herstellungskosten mit Stellplätzen</t>
  </si>
  <si>
    <t>Wfl. in qm:</t>
  </si>
  <si>
    <t>I.</t>
  </si>
  <si>
    <t>Grunddaten</t>
  </si>
  <si>
    <t>Wohnfläche in m2</t>
  </si>
  <si>
    <t>Zins für Fremdkapital in Prozent</t>
  </si>
  <si>
    <t>Gesamtkosten €</t>
  </si>
  <si>
    <t xml:space="preserve">II. </t>
  </si>
  <si>
    <t>Finanzierungsstruktur</t>
  </si>
  <si>
    <t>Eigenkapital €</t>
  </si>
  <si>
    <t>Fremdkapital €</t>
  </si>
  <si>
    <t>III.</t>
  </si>
  <si>
    <t xml:space="preserve">A. </t>
  </si>
  <si>
    <t>Kapitalkosten</t>
  </si>
  <si>
    <t>Annuität auf das Hypothekendarlehen €</t>
  </si>
  <si>
    <t>B.</t>
  </si>
  <si>
    <t>Bewirtschaftungskosten</t>
  </si>
  <si>
    <t>IV.</t>
  </si>
  <si>
    <t>Mieteinnahmen pro Jahr gesamte Wohnanlage €</t>
  </si>
  <si>
    <t>pro Monat und m2 €</t>
  </si>
  <si>
    <t>t</t>
  </si>
  <si>
    <t>CF</t>
  </si>
  <si>
    <t>Abz.</t>
  </si>
  <si>
    <t>Barwerte</t>
  </si>
  <si>
    <t>Modernisierung</t>
  </si>
  <si>
    <t>Miete</t>
  </si>
  <si>
    <t>Kapital</t>
  </si>
  <si>
    <t>Ausfall</t>
  </si>
  <si>
    <t>Verw.</t>
  </si>
  <si>
    <t>Inst.</t>
  </si>
  <si>
    <t>Mod.</t>
  </si>
  <si>
    <r>
      <t>A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/R</t>
    </r>
    <r>
      <rPr>
        <b/>
        <vertAlign val="subscript"/>
        <sz val="10"/>
        <rFont val="Arial"/>
        <family val="2"/>
      </rPr>
      <t>15</t>
    </r>
  </si>
  <si>
    <t>cap rate</t>
  </si>
  <si>
    <t>exit rate</t>
  </si>
  <si>
    <t>Inst.setz</t>
  </si>
  <si>
    <t>Inst.halt</t>
  </si>
  <si>
    <t>Anzahl Wohneinheiten</t>
  </si>
  <si>
    <t>Verwaltungskosten je Wohneinheit €</t>
  </si>
  <si>
    <t>Instandhaltungskosten je m2 €</t>
  </si>
  <si>
    <t>Verwaltung</t>
  </si>
  <si>
    <t>Instandhaltung</t>
  </si>
  <si>
    <t>Mietausfall</t>
  </si>
  <si>
    <r>
      <t>i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 xml:space="preserve"> in Prozent</t>
    </r>
  </si>
  <si>
    <r>
      <t>i t</t>
    </r>
    <r>
      <rPr>
        <vertAlign val="subscript"/>
        <sz val="10"/>
        <rFont val="Arial"/>
        <family val="2"/>
      </rPr>
      <t>10</t>
    </r>
    <r>
      <rPr>
        <sz val="10"/>
        <rFont val="Arial"/>
        <family val="0"/>
      </rPr>
      <t xml:space="preserve"> in Prozent</t>
    </r>
  </si>
  <si>
    <t>anf. Tilgung Prozent</t>
  </si>
  <si>
    <t>Zinsen €</t>
  </si>
  <si>
    <t>Tilgung €</t>
  </si>
  <si>
    <t>Restschuld €</t>
  </si>
  <si>
    <r>
      <t>Ann t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10</t>
    </r>
  </si>
  <si>
    <r>
      <t>Ann t</t>
    </r>
    <r>
      <rPr>
        <vertAlign val="subscript"/>
        <sz val="10"/>
        <rFont val="Arial"/>
        <family val="2"/>
      </rPr>
      <t>11</t>
    </r>
    <r>
      <rPr>
        <sz val="10"/>
        <rFont val="Arial"/>
        <family val="0"/>
      </rPr>
      <t>-t</t>
    </r>
    <r>
      <rPr>
        <vertAlign val="subscript"/>
        <sz val="10"/>
        <rFont val="Arial"/>
        <family val="2"/>
      </rPr>
      <t>20</t>
    </r>
  </si>
  <si>
    <t>Wertst.</t>
  </si>
  <si>
    <t>Wertentw.</t>
  </si>
  <si>
    <t>Miete1</t>
  </si>
  <si>
    <t>Miete2</t>
  </si>
  <si>
    <t>Miete3</t>
  </si>
  <si>
    <t>Miete4</t>
  </si>
  <si>
    <t>Instandsetzung</t>
  </si>
  <si>
    <t>Laufende Auszahlungen ("Aufwendungen") im 1. Jahr</t>
  </si>
  <si>
    <t>Mietausfall in Prozent der Miete</t>
  </si>
  <si>
    <r>
      <t>Ausfall t</t>
    </r>
    <r>
      <rPr>
        <vertAlign val="subscript"/>
        <sz val="10"/>
        <rFont val="Arial"/>
        <family val="2"/>
      </rPr>
      <t>1</t>
    </r>
  </si>
  <si>
    <t>CF2</t>
  </si>
  <si>
    <t>Abschr.</t>
  </si>
  <si>
    <t>Zinsaufwand</t>
  </si>
  <si>
    <t>Zinsertrag</t>
  </si>
  <si>
    <t>Abschr.sätze</t>
  </si>
  <si>
    <t>Gebäude</t>
  </si>
  <si>
    <t>davon aktivierungsfähig beim Gebäude</t>
  </si>
  <si>
    <t>Buchgewinn</t>
  </si>
  <si>
    <t>Nutzungsdauer Jahre</t>
  </si>
  <si>
    <t>Bew.</t>
  </si>
  <si>
    <t>Ertragsteuersatz:</t>
  </si>
  <si>
    <t>Eink.VuV</t>
  </si>
  <si>
    <t>Est.</t>
  </si>
  <si>
    <t>CF.n.Est.</t>
  </si>
  <si>
    <t>CF.v.St.</t>
  </si>
  <si>
    <t>Belastung</t>
  </si>
  <si>
    <t>IKV1</t>
  </si>
  <si>
    <t>Verkaufserlös</t>
  </si>
  <si>
    <t>Buchwert</t>
  </si>
  <si>
    <t>Veräuß.</t>
  </si>
  <si>
    <t>IKV2</t>
  </si>
  <si>
    <t>Restschuld</t>
  </si>
  <si>
    <t>Guthaben</t>
  </si>
  <si>
    <t>Habenzins:</t>
  </si>
</sst>
</file>

<file path=xl/styles.xml><?xml version="1.0" encoding="utf-8"?>
<styleSheet xmlns="http://schemas.openxmlformats.org/spreadsheetml/2006/main">
  <numFmts count="29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"/>
    <numFmt numFmtId="174" formatCode="#,##0_ ;[Red]\-#,##0\ "/>
    <numFmt numFmtId="175" formatCode="0.000000"/>
    <numFmt numFmtId="176" formatCode="#,##0.000"/>
    <numFmt numFmtId="177" formatCode="#,##0.00000"/>
    <numFmt numFmtId="178" formatCode="0.000"/>
    <numFmt numFmtId="179" formatCode="0.00000000"/>
    <numFmt numFmtId="180" formatCode="#,##0.0000"/>
    <numFmt numFmtId="181" formatCode="#,##0.0000000000"/>
    <numFmt numFmtId="182" formatCode="0.000000%"/>
    <numFmt numFmtId="183" formatCode="#,##0.00;[Red]#,##0.00"/>
    <numFmt numFmtId="184" formatCode="#,##0.00_ ;[Red]\-#,##0.00\ "/>
  </numFmts>
  <fonts count="11">
    <font>
      <sz val="10"/>
      <name val="Arial"/>
      <family val="0"/>
    </font>
    <font>
      <b/>
      <sz val="10"/>
      <name val="Arial"/>
      <family val="2"/>
    </font>
    <font>
      <b/>
      <vertAlign val="subscript"/>
      <sz val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1.75"/>
      <name val="Arial"/>
      <family val="0"/>
    </font>
    <font>
      <b/>
      <sz val="11.75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10" fontId="0" fillId="0" borderId="0" xfId="0" applyNumberForma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 horizontal="left"/>
    </xf>
    <xf numFmtId="178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/>
    </xf>
    <xf numFmtId="4" fontId="0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172" fontId="0" fillId="0" borderId="0" xfId="0" applyNumberFormat="1" applyAlignment="1">
      <alignment horizontal="right"/>
    </xf>
    <xf numFmtId="3" fontId="0" fillId="0" borderId="1" xfId="0" applyNumberFormat="1" applyBorder="1" applyAlignment="1">
      <alignment horizontal="right"/>
    </xf>
    <xf numFmtId="3" fontId="3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79" fontId="1" fillId="0" borderId="0" xfId="0" applyNumberFormat="1" applyFont="1" applyAlignment="1">
      <alignment/>
    </xf>
    <xf numFmtId="3" fontId="0" fillId="0" borderId="2" xfId="0" applyNumberFormat="1" applyBorder="1" applyAlignment="1">
      <alignment horizontal="right"/>
    </xf>
    <xf numFmtId="3" fontId="0" fillId="2" borderId="0" xfId="0" applyNumberFormat="1" applyFill="1" applyAlignment="1">
      <alignment horizontal="right"/>
    </xf>
    <xf numFmtId="3" fontId="0" fillId="2" borderId="0" xfId="0" applyNumberFormat="1" applyFill="1" applyAlignment="1">
      <alignment/>
    </xf>
    <xf numFmtId="172" fontId="0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3" xfId="0" applyNumberFormat="1" applyBorder="1" applyAlignment="1">
      <alignment horizontal="right"/>
    </xf>
    <xf numFmtId="0" fontId="1" fillId="0" borderId="4" xfId="0" applyFont="1" applyBorder="1" applyAlignment="1">
      <alignment horizontal="center"/>
    </xf>
    <xf numFmtId="3" fontId="0" fillId="0" borderId="0" xfId="0" applyNumberFormat="1" applyFill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3" fontId="7" fillId="0" borderId="2" xfId="0" applyNumberFormat="1" applyFont="1" applyBorder="1" applyAlignment="1">
      <alignment horizontal="right"/>
    </xf>
    <xf numFmtId="0" fontId="8" fillId="0" borderId="0" xfId="0" applyFont="1" applyAlignment="1">
      <alignment horizontal="center"/>
    </xf>
    <xf numFmtId="0" fontId="9" fillId="0" borderId="2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2" xfId="0" applyFont="1" applyBorder="1" applyAlignment="1">
      <alignment horizontal="right"/>
    </xf>
    <xf numFmtId="3" fontId="7" fillId="0" borderId="0" xfId="0" applyNumberFormat="1" applyFont="1" applyAlignment="1">
      <alignment horizontal="center"/>
    </xf>
    <xf numFmtId="0" fontId="8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84" fontId="8" fillId="0" borderId="0" xfId="0" applyNumberFormat="1" applyFont="1" applyAlignment="1">
      <alignment horizontal="center"/>
    </xf>
    <xf numFmtId="3" fontId="8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right"/>
    </xf>
    <xf numFmtId="3" fontId="10" fillId="0" borderId="2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3" fontId="7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3" fontId="10" fillId="0" borderId="4" xfId="0" applyNumberFormat="1" applyFont="1" applyBorder="1" applyAlignment="1">
      <alignment/>
    </xf>
    <xf numFmtId="3" fontId="7" fillId="0" borderId="2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3" fontId="10" fillId="0" borderId="3" xfId="0" applyNumberFormat="1" applyFont="1" applyBorder="1" applyAlignment="1">
      <alignment/>
    </xf>
    <xf numFmtId="174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0" fontId="7" fillId="0" borderId="1" xfId="0" applyFont="1" applyBorder="1" applyAlignment="1">
      <alignment horizontal="center"/>
    </xf>
    <xf numFmtId="3" fontId="7" fillId="0" borderId="5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center"/>
    </xf>
    <xf numFmtId="3" fontId="10" fillId="0" borderId="5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3" fontId="7" fillId="0" borderId="1" xfId="0" applyNumberFormat="1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0" fillId="0" borderId="6" xfId="0" applyNumberFormat="1" applyFont="1" applyBorder="1" applyAlignment="1">
      <alignment/>
    </xf>
    <xf numFmtId="3" fontId="8" fillId="0" borderId="5" xfId="0" applyNumberFormat="1" applyFont="1" applyBorder="1" applyAlignment="1">
      <alignment/>
    </xf>
    <xf numFmtId="3" fontId="7" fillId="0" borderId="5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3" fontId="10" fillId="0" borderId="7" xfId="0" applyNumberFormat="1" applyFont="1" applyBorder="1" applyAlignment="1">
      <alignment/>
    </xf>
    <xf numFmtId="174" fontId="7" fillId="0" borderId="5" xfId="0" applyNumberFormat="1" applyFont="1" applyBorder="1" applyAlignment="1">
      <alignment/>
    </xf>
    <xf numFmtId="179" fontId="8" fillId="0" borderId="1" xfId="0" applyNumberFormat="1" applyFont="1" applyBorder="1" applyAlignment="1">
      <alignment/>
    </xf>
    <xf numFmtId="179" fontId="8" fillId="0" borderId="0" xfId="0" applyNumberFormat="1" applyFont="1" applyAlignment="1">
      <alignment/>
    </xf>
    <xf numFmtId="0" fontId="8" fillId="0" borderId="0" xfId="0" applyFont="1" applyAlignment="1">
      <alignment/>
    </xf>
    <xf numFmtId="3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iWoTab!$A$19:$A$38</c:f>
              <c:numCache/>
            </c:numRef>
          </c:val>
        </c:ser>
        <c:ser>
          <c:idx val="1"/>
          <c:order val="1"/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iWoTab!$M$19:$M$38</c:f>
              <c:numCache/>
            </c:numRef>
          </c:val>
        </c:ser>
        <c:axId val="51009759"/>
        <c:axId val="56434648"/>
      </c:barChart>
      <c:catAx>
        <c:axId val="510097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crossAx val="56434648"/>
        <c:crosses val="autoZero"/>
        <c:auto val="1"/>
        <c:lblOffset val="100"/>
        <c:noMultiLvlLbl val="0"/>
      </c:catAx>
      <c:valAx>
        <c:axId val="56434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75" b="1" i="0" u="none" baseline="0">
                    <a:latin typeface="Arial"/>
                    <a:ea typeface="Arial"/>
                    <a:cs typeface="Arial"/>
                  </a:rPr>
                  <a:t>CF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00975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40</xdr:row>
      <xdr:rowOff>0</xdr:rowOff>
    </xdr:from>
    <xdr:to>
      <xdr:col>9</xdr:col>
      <xdr:colOff>0</xdr:colOff>
      <xdr:row>59</xdr:row>
      <xdr:rowOff>9525</xdr:rowOff>
    </xdr:to>
    <xdr:graphicFrame>
      <xdr:nvGraphicFramePr>
        <xdr:cNvPr id="1" name="Chart 2"/>
        <xdr:cNvGraphicFramePr/>
      </xdr:nvGraphicFramePr>
      <xdr:xfrm>
        <a:off x="533400" y="6534150"/>
        <a:ext cx="45720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4"/>
  <sheetViews>
    <sheetView zoomScale="120" zoomScaleNormal="120" workbookViewId="0" topLeftCell="A1">
      <selection activeCell="B17" sqref="B17"/>
    </sheetView>
  </sheetViews>
  <sheetFormatPr defaultColWidth="11.421875" defaultRowHeight="12.75"/>
  <cols>
    <col min="1" max="1" width="42.8515625" style="0" bestFit="1" customWidth="1"/>
    <col min="2" max="2" width="12.7109375" style="0" customWidth="1"/>
    <col min="3" max="3" width="15.421875" style="0" bestFit="1" customWidth="1"/>
    <col min="4" max="4" width="12.57421875" style="0" bestFit="1" customWidth="1"/>
  </cols>
  <sheetData>
    <row r="2" spans="2:3" ht="12.75">
      <c r="B2" s="3" t="s">
        <v>24</v>
      </c>
      <c r="C2">
        <v>3200</v>
      </c>
    </row>
    <row r="4" spans="1:3" ht="12.75">
      <c r="A4" s="12" t="s">
        <v>14</v>
      </c>
      <c r="B4" s="12" t="s">
        <v>15</v>
      </c>
      <c r="C4" s="12" t="s">
        <v>16</v>
      </c>
    </row>
    <row r="5" spans="1:3" ht="12.75">
      <c r="A5" t="s">
        <v>1</v>
      </c>
      <c r="B5" s="1">
        <v>7500</v>
      </c>
      <c r="C5" s="1">
        <f>B5*45</f>
        <v>337500</v>
      </c>
    </row>
    <row r="6" spans="1:3" ht="12.75">
      <c r="A6" t="s">
        <v>2</v>
      </c>
      <c r="B6" s="1">
        <v>5000</v>
      </c>
      <c r="C6" s="1">
        <f>B6*9</f>
        <v>45000</v>
      </c>
    </row>
    <row r="7" spans="1:3" ht="12.75">
      <c r="A7" t="s">
        <v>3</v>
      </c>
      <c r="C7" s="2">
        <f>SUM(C5:C6)</f>
        <v>382500</v>
      </c>
    </row>
    <row r="8" ht="12.75">
      <c r="C8" s="1"/>
    </row>
    <row r="9" spans="1:5" ht="12.75">
      <c r="A9" s="12" t="s">
        <v>4</v>
      </c>
      <c r="B9" s="12" t="s">
        <v>22</v>
      </c>
      <c r="C9" s="12" t="s">
        <v>17</v>
      </c>
      <c r="D9" s="12" t="s">
        <v>18</v>
      </c>
      <c r="E9" s="3"/>
    </row>
    <row r="10" spans="1:4" ht="12.75">
      <c r="A10" t="s">
        <v>5</v>
      </c>
      <c r="B10" s="1">
        <v>1000000</v>
      </c>
      <c r="C10" s="1">
        <f>B10/$C$2</f>
        <v>312.5</v>
      </c>
      <c r="D10" s="10">
        <f>B10/$B$21</f>
        <v>0.16364603362925992</v>
      </c>
    </row>
    <row r="11" spans="1:4" ht="12.75">
      <c r="A11" t="s">
        <v>6</v>
      </c>
      <c r="B11" s="1">
        <v>175000</v>
      </c>
      <c r="C11" s="1">
        <f aca="true" t="shared" si="0" ref="C11:C21">B11/$C$2</f>
        <v>54.6875</v>
      </c>
      <c r="D11" s="10">
        <f aca="true" t="shared" si="1" ref="D11:D22">B11/$B$21</f>
        <v>0.028638055885120483</v>
      </c>
    </row>
    <row r="12" spans="1:4" ht="12.75">
      <c r="A12" s="26" t="s">
        <v>7</v>
      </c>
      <c r="B12" s="1">
        <v>2700000</v>
      </c>
      <c r="C12" s="1">
        <f t="shared" si="0"/>
        <v>843.75</v>
      </c>
      <c r="D12" s="10">
        <f t="shared" si="1"/>
        <v>0.4418442907990018</v>
      </c>
    </row>
    <row r="13" spans="1:4" ht="12.75">
      <c r="A13" s="26" t="s">
        <v>8</v>
      </c>
      <c r="B13" s="1">
        <v>700000</v>
      </c>
      <c r="C13" s="1">
        <f t="shared" si="0"/>
        <v>218.75</v>
      </c>
      <c r="D13" s="10">
        <f t="shared" si="1"/>
        <v>0.11455222354048193</v>
      </c>
    </row>
    <row r="14" spans="1:4" ht="12.75">
      <c r="A14" s="26" t="s">
        <v>9</v>
      </c>
      <c r="B14" s="1">
        <v>175000</v>
      </c>
      <c r="C14" s="1">
        <f t="shared" si="0"/>
        <v>54.6875</v>
      </c>
      <c r="D14" s="10">
        <f t="shared" si="1"/>
        <v>0.028638055885120483</v>
      </c>
    </row>
    <row r="15" spans="1:4" ht="12.75">
      <c r="A15" s="26" t="s">
        <v>19</v>
      </c>
      <c r="B15" s="1">
        <v>600000</v>
      </c>
      <c r="C15" s="1">
        <f t="shared" si="0"/>
        <v>187.5</v>
      </c>
      <c r="D15" s="10">
        <f t="shared" si="1"/>
        <v>0.09818762017755595</v>
      </c>
    </row>
    <row r="16" spans="1:4" ht="12.75">
      <c r="A16" s="5" t="s">
        <v>10</v>
      </c>
      <c r="B16" s="2">
        <f>SUM(B10:B15)</f>
        <v>5350000</v>
      </c>
      <c r="C16" s="2">
        <f t="shared" si="0"/>
        <v>1671.875</v>
      </c>
      <c r="D16" s="10">
        <f t="shared" si="1"/>
        <v>0.8755062799165405</v>
      </c>
    </row>
    <row r="17" spans="1:4" ht="12.75">
      <c r="A17" t="s">
        <v>11</v>
      </c>
      <c r="B17" s="1">
        <v>50625</v>
      </c>
      <c r="C17" s="1">
        <f t="shared" si="0"/>
        <v>15.8203125</v>
      </c>
      <c r="D17" s="10">
        <f t="shared" si="1"/>
        <v>0.008284580452481283</v>
      </c>
    </row>
    <row r="18" spans="1:4" ht="12.75">
      <c r="A18" t="s">
        <v>12</v>
      </c>
      <c r="B18" s="1">
        <v>50000</v>
      </c>
      <c r="C18" s="1">
        <f t="shared" si="0"/>
        <v>15.625</v>
      </c>
      <c r="D18" s="10">
        <f t="shared" si="1"/>
        <v>0.008182301681462995</v>
      </c>
    </row>
    <row r="19" spans="1:4" ht="12.75">
      <c r="A19" s="26" t="s">
        <v>13</v>
      </c>
      <c r="B19" s="1">
        <v>215625</v>
      </c>
      <c r="C19" s="1">
        <f t="shared" si="0"/>
        <v>67.3828125</v>
      </c>
      <c r="D19" s="10">
        <f t="shared" si="1"/>
        <v>0.03528617600130917</v>
      </c>
    </row>
    <row r="20" spans="1:4" ht="12.75">
      <c r="A20" s="26" t="s">
        <v>20</v>
      </c>
      <c r="B20" s="1">
        <v>444500</v>
      </c>
      <c r="C20" s="1">
        <f t="shared" si="0"/>
        <v>138.90625</v>
      </c>
      <c r="D20" s="10">
        <f t="shared" si="1"/>
        <v>0.07274066194820603</v>
      </c>
    </row>
    <row r="21" spans="1:4" ht="12.75">
      <c r="A21" s="5" t="s">
        <v>21</v>
      </c>
      <c r="B21" s="2">
        <f>SUM(B10:B15)+SUM(B17:B20)</f>
        <v>6110750</v>
      </c>
      <c r="C21" s="2">
        <f t="shared" si="0"/>
        <v>1909.609375</v>
      </c>
      <c r="D21" s="10">
        <f t="shared" si="1"/>
        <v>1</v>
      </c>
    </row>
    <row r="22" spans="1:4" ht="12.75">
      <c r="A22" s="13" t="s">
        <v>23</v>
      </c>
      <c r="B22" s="7">
        <f>B21+C7</f>
        <v>6493250</v>
      </c>
      <c r="C22" s="7">
        <f>B22/$C$2</f>
        <v>2029.140625</v>
      </c>
      <c r="D22" s="10">
        <f t="shared" si="1"/>
        <v>1.0625946078631918</v>
      </c>
    </row>
    <row r="24" spans="1:2" ht="12.75">
      <c r="A24" t="s">
        <v>89</v>
      </c>
      <c r="B24" s="1">
        <f>SUM(B12:B15)+B19+B20</f>
        <v>4835125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25"/>
  <sheetViews>
    <sheetView zoomScale="120" zoomScaleNormal="120" workbookViewId="0" topLeftCell="B1">
      <selection activeCell="D26" sqref="D26"/>
    </sheetView>
  </sheetViews>
  <sheetFormatPr defaultColWidth="11.421875" defaultRowHeight="12.75"/>
  <cols>
    <col min="2" max="2" width="3.421875" style="0" bestFit="1" customWidth="1"/>
    <col min="3" max="3" width="44.57421875" style="0" bestFit="1" customWidth="1"/>
    <col min="4" max="4" width="22.8515625" style="0" bestFit="1" customWidth="1"/>
    <col min="5" max="5" width="8.00390625" style="0" bestFit="1" customWidth="1"/>
  </cols>
  <sheetData>
    <row r="2" spans="2:4" ht="12.75">
      <c r="B2" s="5" t="s">
        <v>25</v>
      </c>
      <c r="C2" s="5" t="s">
        <v>26</v>
      </c>
      <c r="D2" s="5"/>
    </row>
    <row r="3" spans="3:4" ht="12.75">
      <c r="C3" t="s">
        <v>27</v>
      </c>
      <c r="D3" s="1">
        <v>3200</v>
      </c>
    </row>
    <row r="4" spans="3:4" ht="12.75">
      <c r="C4" t="s">
        <v>59</v>
      </c>
      <c r="D4" s="1">
        <v>45</v>
      </c>
    </row>
    <row r="5" spans="3:4" ht="12.75">
      <c r="C5" t="s">
        <v>28</v>
      </c>
      <c r="D5">
        <v>4.5</v>
      </c>
    </row>
    <row r="6" spans="3:4" ht="12.75">
      <c r="C6" t="s">
        <v>60</v>
      </c>
      <c r="D6">
        <v>370</v>
      </c>
    </row>
    <row r="7" spans="3:4" ht="12.75">
      <c r="C7" t="s">
        <v>61</v>
      </c>
      <c r="D7">
        <f>D20/D3</f>
        <v>1.5625</v>
      </c>
    </row>
    <row r="8" spans="3:4" ht="12.75">
      <c r="C8" t="s">
        <v>81</v>
      </c>
      <c r="D8">
        <v>3</v>
      </c>
    </row>
    <row r="9" spans="3:4" ht="12.75">
      <c r="C9" t="s">
        <v>29</v>
      </c>
      <c r="D9" s="1">
        <f>iWoHK!$B$21</f>
        <v>6110750</v>
      </c>
    </row>
    <row r="10" spans="3:4" ht="12.75">
      <c r="C10" t="s">
        <v>91</v>
      </c>
      <c r="D10" s="1">
        <v>20</v>
      </c>
    </row>
    <row r="11" spans="2:4" ht="12.75">
      <c r="B11" s="5" t="s">
        <v>30</v>
      </c>
      <c r="C11" s="5" t="s">
        <v>31</v>
      </c>
      <c r="D11" s="5"/>
    </row>
    <row r="12" spans="3:4" ht="12.75">
      <c r="C12" t="s">
        <v>32</v>
      </c>
      <c r="D12" s="1">
        <f>D9*0.25</f>
        <v>1527687.5</v>
      </c>
    </row>
    <row r="13" spans="3:4" ht="12.75">
      <c r="C13" t="s">
        <v>33</v>
      </c>
      <c r="D13" s="34">
        <f>D14-D12</f>
        <v>4583062.5</v>
      </c>
    </row>
    <row r="14" spans="3:4" ht="12.75">
      <c r="C14" t="s">
        <v>29</v>
      </c>
      <c r="D14" s="2">
        <f>D9</f>
        <v>6110750</v>
      </c>
    </row>
    <row r="15" spans="2:4" ht="12.75">
      <c r="B15" s="5" t="s">
        <v>34</v>
      </c>
      <c r="C15" s="5" t="s">
        <v>80</v>
      </c>
      <c r="D15" s="5"/>
    </row>
    <row r="16" spans="2:3" ht="12.75">
      <c r="B16" t="s">
        <v>35</v>
      </c>
      <c r="C16" t="s">
        <v>36</v>
      </c>
    </row>
    <row r="17" spans="3:4" ht="12.75">
      <c r="C17" t="s">
        <v>37</v>
      </c>
      <c r="D17" s="2">
        <f>iWoDarl!$C$7</f>
        <v>252068.4375</v>
      </c>
    </row>
    <row r="18" spans="2:4" ht="12.75">
      <c r="B18" t="s">
        <v>38</v>
      </c>
      <c r="C18" t="s">
        <v>39</v>
      </c>
      <c r="D18" s="2">
        <f>SUM(D19:D23)</f>
        <v>59282</v>
      </c>
    </row>
    <row r="19" spans="3:4" ht="12.75">
      <c r="C19" t="s">
        <v>62</v>
      </c>
      <c r="D19" s="15">
        <f>D6*D4</f>
        <v>16650</v>
      </c>
    </row>
    <row r="20" spans="3:4" ht="12.75">
      <c r="C20" t="s">
        <v>63</v>
      </c>
      <c r="D20" s="15">
        <f>iWoTab!$H$19</f>
        <v>5000</v>
      </c>
    </row>
    <row r="21" spans="3:4" ht="12.75">
      <c r="C21" t="s">
        <v>79</v>
      </c>
      <c r="D21" s="15">
        <v>0</v>
      </c>
    </row>
    <row r="22" spans="3:4" ht="12.75">
      <c r="C22" t="s">
        <v>47</v>
      </c>
      <c r="D22" s="15">
        <v>0</v>
      </c>
    </row>
    <row r="23" spans="3:4" ht="12.75">
      <c r="C23" t="s">
        <v>64</v>
      </c>
      <c r="D23" s="15">
        <f>iWoTab!$K$19</f>
        <v>37632</v>
      </c>
    </row>
    <row r="24" spans="2:4" ht="12.75">
      <c r="B24" s="5" t="s">
        <v>40</v>
      </c>
      <c r="C24" s="5" t="s">
        <v>41</v>
      </c>
      <c r="D24" s="2">
        <f>D25*12*D3</f>
        <v>376320</v>
      </c>
    </row>
    <row r="25" spans="3:4" ht="12.75">
      <c r="C25" t="s">
        <v>42</v>
      </c>
      <c r="D25" s="4">
        <v>9.8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1"/>
  <sheetViews>
    <sheetView zoomScale="120" zoomScaleNormal="120" workbookViewId="0" topLeftCell="L15">
      <selection activeCell="P39" sqref="P39"/>
    </sheetView>
  </sheetViews>
  <sheetFormatPr defaultColWidth="11.421875" defaultRowHeight="12.75"/>
  <cols>
    <col min="1" max="1" width="7.8515625" style="0" bestFit="1" customWidth="1"/>
    <col min="2" max="2" width="10.140625" style="0" customWidth="1"/>
    <col min="3" max="4" width="8.00390625" style="0" customWidth="1"/>
    <col min="5" max="5" width="10.57421875" style="0" customWidth="1"/>
    <col min="6" max="6" width="8.00390625" style="0" customWidth="1"/>
    <col min="7" max="7" width="7.00390625" style="0" customWidth="1"/>
    <col min="8" max="8" width="8.28125" style="0" customWidth="1"/>
    <col min="9" max="9" width="8.7109375" style="0" customWidth="1"/>
    <col min="10" max="10" width="5.00390625" style="0" customWidth="1"/>
    <col min="11" max="11" width="7.28125" style="0" customWidth="1"/>
    <col min="12" max="13" width="8.00390625" style="0" customWidth="1"/>
    <col min="14" max="14" width="7.00390625" style="0" customWidth="1"/>
    <col min="15" max="15" width="10.140625" style="0" customWidth="1"/>
    <col min="16" max="16" width="11.28125" style="0" customWidth="1"/>
  </cols>
  <sheetData>
    <row r="1" spans="1:2" ht="12.75">
      <c r="A1" t="s">
        <v>0</v>
      </c>
      <c r="B1" s="16">
        <f>P39</f>
        <v>0.06783280425959315</v>
      </c>
    </row>
    <row r="2" spans="1:2" ht="12.75">
      <c r="A2" t="s">
        <v>75</v>
      </c>
      <c r="B2" s="16">
        <v>0.018</v>
      </c>
    </row>
    <row r="3" spans="1:2" ht="12.75">
      <c r="A3" t="s">
        <v>76</v>
      </c>
      <c r="B3" s="16">
        <v>0.012</v>
      </c>
    </row>
    <row r="4" spans="1:2" ht="12.75">
      <c r="A4" t="s">
        <v>77</v>
      </c>
      <c r="B4" s="16">
        <v>0.006</v>
      </c>
    </row>
    <row r="5" spans="1:2" ht="12.75">
      <c r="A5" t="s">
        <v>78</v>
      </c>
      <c r="B5" s="16">
        <v>0</v>
      </c>
    </row>
    <row r="6" spans="1:2" ht="12.75">
      <c r="A6" t="s">
        <v>51</v>
      </c>
      <c r="B6" s="16">
        <v>0.02</v>
      </c>
    </row>
    <row r="7" spans="1:2" ht="12.75">
      <c r="A7" t="s">
        <v>52</v>
      </c>
      <c r="B7" s="16">
        <v>0.105</v>
      </c>
    </row>
    <row r="8" spans="1:2" ht="12.75">
      <c r="A8" t="s">
        <v>53</v>
      </c>
      <c r="B8" s="16">
        <v>0</v>
      </c>
    </row>
    <row r="9" spans="1:2" ht="12.75">
      <c r="A9" t="s">
        <v>50</v>
      </c>
      <c r="B9" s="16">
        <v>0.03</v>
      </c>
    </row>
    <row r="10" spans="1:2" ht="15.75">
      <c r="A10" t="s">
        <v>82</v>
      </c>
      <c r="B10" s="16">
        <v>0.1</v>
      </c>
    </row>
    <row r="11" spans="1:2" ht="12.75">
      <c r="A11" t="s">
        <v>55</v>
      </c>
      <c r="B11" s="14">
        <f>(M19+F19+K19-$B$9*C19)/iWoDat!$D$9</f>
        <v>0.056192840486028725</v>
      </c>
    </row>
    <row r="12" spans="1:5" ht="12.75">
      <c r="A12" t="s">
        <v>56</v>
      </c>
      <c r="B12" s="14">
        <f>B11+0.012</f>
        <v>0.06819284048602872</v>
      </c>
      <c r="C12" s="1"/>
      <c r="D12" s="1"/>
      <c r="E12" s="1"/>
    </row>
    <row r="13" spans="1:5" ht="12.75">
      <c r="A13" t="s">
        <v>73</v>
      </c>
      <c r="B13" s="33">
        <v>-0.00725365</v>
      </c>
      <c r="C13" s="1"/>
      <c r="D13" s="1"/>
      <c r="E13" s="1"/>
    </row>
    <row r="14" spans="1:5" ht="12.75">
      <c r="A14" t="s">
        <v>102</v>
      </c>
      <c r="B14" s="32">
        <f>(M38+F38-I39)/B12</f>
        <v>5282755.246148474</v>
      </c>
      <c r="C14" s="1"/>
      <c r="D14" s="1"/>
      <c r="E14" s="1"/>
    </row>
    <row r="15" spans="1:5" ht="12.75">
      <c r="A15" t="s">
        <v>104</v>
      </c>
      <c r="B15" s="37">
        <f>iWoDarl!$B$32</f>
        <v>3415802.1141514606</v>
      </c>
      <c r="C15" s="1"/>
      <c r="D15" s="1"/>
      <c r="E15" s="1"/>
    </row>
    <row r="16" spans="2:5" ht="12.75">
      <c r="B16" s="37"/>
      <c r="C16" s="1"/>
      <c r="D16" s="1"/>
      <c r="E16" s="1"/>
    </row>
    <row r="17" spans="1:17" ht="14.25">
      <c r="A17" s="12" t="s">
        <v>43</v>
      </c>
      <c r="B17" s="12" t="s">
        <v>54</v>
      </c>
      <c r="C17" s="12" t="s">
        <v>48</v>
      </c>
      <c r="D17" s="12" t="s">
        <v>73</v>
      </c>
      <c r="E17" s="12" t="s">
        <v>74</v>
      </c>
      <c r="F17" s="12" t="s">
        <v>49</v>
      </c>
      <c r="G17" s="27" t="s">
        <v>51</v>
      </c>
      <c r="H17" s="12" t="s">
        <v>58</v>
      </c>
      <c r="I17" s="12" t="s">
        <v>57</v>
      </c>
      <c r="J17" s="12" t="s">
        <v>53</v>
      </c>
      <c r="K17" s="12" t="s">
        <v>50</v>
      </c>
      <c r="L17" s="28" t="s">
        <v>92</v>
      </c>
      <c r="M17" s="12" t="s">
        <v>44</v>
      </c>
      <c r="N17" s="12" t="s">
        <v>45</v>
      </c>
      <c r="O17" s="12" t="s">
        <v>46</v>
      </c>
      <c r="P17" s="12" t="s">
        <v>0</v>
      </c>
      <c r="Q17" s="12" t="s">
        <v>83</v>
      </c>
    </row>
    <row r="18" spans="1:17" ht="12.75">
      <c r="A18" s="3">
        <v>0</v>
      </c>
      <c r="B18" s="9">
        <f>iWoDat!$D$12*(-1)</f>
        <v>-1527687.5</v>
      </c>
      <c r="C18" s="9"/>
      <c r="D18" s="9"/>
      <c r="E18" s="9">
        <f>iWoDat!$D$9</f>
        <v>6110750</v>
      </c>
      <c r="F18" s="9"/>
      <c r="G18" s="30"/>
      <c r="H18" s="9"/>
      <c r="I18" s="9"/>
      <c r="J18" s="9"/>
      <c r="K18" s="9"/>
      <c r="L18" s="35"/>
      <c r="M18" s="9">
        <v>0</v>
      </c>
      <c r="N18" s="22">
        <f>1/(1+$B$1)^A18</f>
        <v>1</v>
      </c>
      <c r="O18" s="9">
        <f>B18*N18</f>
        <v>-1527687.5</v>
      </c>
      <c r="P18" s="9">
        <f>B18</f>
        <v>-1527687.5</v>
      </c>
      <c r="Q18" s="1">
        <f>P18+F18</f>
        <v>-1527687.5</v>
      </c>
    </row>
    <row r="19" spans="1:17" ht="12.75">
      <c r="A19" s="3">
        <v>1</v>
      </c>
      <c r="B19" s="8"/>
      <c r="C19" s="9">
        <f>iWoDat!$D$24</f>
        <v>376320</v>
      </c>
      <c r="D19" s="9">
        <f>E19-E18</f>
        <v>-44325.24173749983</v>
      </c>
      <c r="E19" s="9">
        <f>E18*(1+$B$13)</f>
        <v>6066424.7582625</v>
      </c>
      <c r="F19" s="9">
        <f>iWoDat!$D$17</f>
        <v>252068.4375</v>
      </c>
      <c r="G19" s="30">
        <f>iWoDat!$D$19</f>
        <v>16650</v>
      </c>
      <c r="H19" s="9">
        <v>5000</v>
      </c>
      <c r="I19" s="9">
        <v>0</v>
      </c>
      <c r="J19" s="9">
        <f>iWoDat!$D$22</f>
        <v>0</v>
      </c>
      <c r="K19" s="9">
        <f>$B$10*C19</f>
        <v>37632</v>
      </c>
      <c r="L19" s="35">
        <f>SUM(G19:K19)</f>
        <v>59282</v>
      </c>
      <c r="M19" s="9">
        <f aca="true" t="shared" si="0" ref="M19:M38">C19-SUM(F19:K19)</f>
        <v>64969.5625</v>
      </c>
      <c r="N19" s="22">
        <f>1/(1+$B$1)^A19</f>
        <v>0.9364761936615847</v>
      </c>
      <c r="O19" s="9">
        <f aca="true" t="shared" si="1" ref="O19:O37">M19*N19</f>
        <v>60842.44859385843</v>
      </c>
      <c r="P19" s="9">
        <f aca="true" t="shared" si="2" ref="P19:P37">M19</f>
        <v>64969.5625</v>
      </c>
      <c r="Q19" s="1">
        <f aca="true" t="shared" si="3" ref="Q19:Q38">P19+F19</f>
        <v>317038</v>
      </c>
    </row>
    <row r="20" spans="1:18" ht="12.75">
      <c r="A20" s="3">
        <v>2</v>
      </c>
      <c r="B20" s="8"/>
      <c r="C20" s="9">
        <f>C19*(1+$B$2)</f>
        <v>383093.76</v>
      </c>
      <c r="D20" s="9">
        <f aca="true" t="shared" si="4" ref="D20:D38">E20-E19</f>
        <v>-44003.721947770566</v>
      </c>
      <c r="E20" s="9">
        <f>E19*(1+$B$13)</f>
        <v>6022421.03631473</v>
      </c>
      <c r="F20" s="9">
        <f>iWoDat!$D$17</f>
        <v>252068.4375</v>
      </c>
      <c r="G20" s="30">
        <f>G19*(1+$B$6)</f>
        <v>16983</v>
      </c>
      <c r="H20" s="9">
        <f>H19*(1+$B$7)</f>
        <v>5525</v>
      </c>
      <c r="I20" s="9">
        <v>0</v>
      </c>
      <c r="J20" s="9">
        <f>J19*(1+$B$8)</f>
        <v>0</v>
      </c>
      <c r="K20" s="9">
        <f aca="true" t="shared" si="5" ref="K20:K38">$B$9*C20</f>
        <v>11492.8128</v>
      </c>
      <c r="L20" s="35">
        <f aca="true" t="shared" si="6" ref="L20:L38">SUM(G20:K20)</f>
        <v>34000.8128</v>
      </c>
      <c r="M20" s="9">
        <f t="shared" si="0"/>
        <v>97024.5097</v>
      </c>
      <c r="N20" s="22">
        <f aca="true" t="shared" si="7" ref="N20:N38">1/(1+$B$1)^A20</f>
        <v>0.8769876612948899</v>
      </c>
      <c r="O20" s="9">
        <f t="shared" si="1"/>
        <v>85089.29785008635</v>
      </c>
      <c r="P20" s="9">
        <f t="shared" si="2"/>
        <v>97024.5097</v>
      </c>
      <c r="Q20" s="1">
        <f t="shared" si="3"/>
        <v>349092.9472</v>
      </c>
      <c r="R20" s="1"/>
    </row>
    <row r="21" spans="1:17" ht="12.75">
      <c r="A21" s="3">
        <v>3</v>
      </c>
      <c r="B21" s="8"/>
      <c r="C21" s="9">
        <f>C20*(1+$B$2)</f>
        <v>389989.44768000004</v>
      </c>
      <c r="D21" s="9">
        <f t="shared" si="4"/>
        <v>-43684.53435006458</v>
      </c>
      <c r="E21" s="9">
        <f aca="true" t="shared" si="8" ref="E21:E38">E20*(1+$B$13)</f>
        <v>5978736.501964665</v>
      </c>
      <c r="F21" s="9">
        <f>iWoDat!$D$17</f>
        <v>252068.4375</v>
      </c>
      <c r="G21" s="30">
        <f aca="true" t="shared" si="9" ref="G21:G38">G20*(1+$B$6)</f>
        <v>17322.66</v>
      </c>
      <c r="H21" s="9">
        <f aca="true" t="shared" si="10" ref="H21:H38">H20*(1+$B$7)</f>
        <v>6105.125</v>
      </c>
      <c r="I21" s="9">
        <v>0</v>
      </c>
      <c r="J21" s="9">
        <f aca="true" t="shared" si="11" ref="J21:J38">J20*(1+$B$8)</f>
        <v>0</v>
      </c>
      <c r="K21" s="9">
        <f t="shared" si="5"/>
        <v>11699.6834304</v>
      </c>
      <c r="L21" s="35">
        <f t="shared" si="6"/>
        <v>35127.4684304</v>
      </c>
      <c r="M21" s="9">
        <f t="shared" si="0"/>
        <v>102793.54174960009</v>
      </c>
      <c r="N21" s="22">
        <f t="shared" si="7"/>
        <v>0.8212780669376136</v>
      </c>
      <c r="O21" s="9">
        <f t="shared" si="1"/>
        <v>84422.08126178244</v>
      </c>
      <c r="P21" s="9">
        <f t="shared" si="2"/>
        <v>102793.54174960009</v>
      </c>
      <c r="Q21" s="1">
        <f t="shared" si="3"/>
        <v>354861.9792496001</v>
      </c>
    </row>
    <row r="22" spans="1:17" ht="12.75">
      <c r="A22" s="3">
        <v>4</v>
      </c>
      <c r="B22" s="8"/>
      <c r="C22" s="9">
        <f>C21*(1+$B$2)</f>
        <v>397009.25773824006</v>
      </c>
      <c r="D22" s="9">
        <f t="shared" si="4"/>
        <v>-43367.662027476355</v>
      </c>
      <c r="E22" s="9">
        <f t="shared" si="8"/>
        <v>5935368.839937189</v>
      </c>
      <c r="F22" s="9">
        <f>iWoDat!$D$17</f>
        <v>252068.4375</v>
      </c>
      <c r="G22" s="30">
        <f t="shared" si="9"/>
        <v>17669.1132</v>
      </c>
      <c r="H22" s="9">
        <f t="shared" si="10"/>
        <v>6746.163125</v>
      </c>
      <c r="I22" s="9">
        <v>0</v>
      </c>
      <c r="J22" s="9">
        <f t="shared" si="11"/>
        <v>0</v>
      </c>
      <c r="K22" s="9">
        <f t="shared" si="5"/>
        <v>11910.277732147202</v>
      </c>
      <c r="L22" s="35">
        <f t="shared" si="6"/>
        <v>36325.5540571472</v>
      </c>
      <c r="M22" s="9">
        <f t="shared" si="0"/>
        <v>108615.26618109283</v>
      </c>
      <c r="N22" s="22">
        <f t="shared" si="7"/>
        <v>0.7691073580634806</v>
      </c>
      <c r="O22" s="9">
        <f t="shared" si="1"/>
        <v>83536.80041790202</v>
      </c>
      <c r="P22" s="9">
        <f t="shared" si="2"/>
        <v>108615.26618109283</v>
      </c>
      <c r="Q22" s="1">
        <f t="shared" si="3"/>
        <v>360683.7036810928</v>
      </c>
    </row>
    <row r="23" spans="1:17" ht="12.75">
      <c r="A23" s="3">
        <v>5</v>
      </c>
      <c r="B23" s="8"/>
      <c r="C23" s="23">
        <f>C22*(1+$B$2)</f>
        <v>404155.42437752837</v>
      </c>
      <c r="D23" s="9">
        <f t="shared" si="4"/>
        <v>-43053.088185810484</v>
      </c>
      <c r="E23" s="9">
        <f t="shared" si="8"/>
        <v>5892315.751751378</v>
      </c>
      <c r="F23" s="9">
        <f>iWoDat!$D$17</f>
        <v>252068.4375</v>
      </c>
      <c r="G23" s="30">
        <f t="shared" si="9"/>
        <v>18022.495464</v>
      </c>
      <c r="H23" s="9">
        <f t="shared" si="10"/>
        <v>7454.5102531249995</v>
      </c>
      <c r="I23" s="9">
        <v>0</v>
      </c>
      <c r="J23" s="9">
        <f t="shared" si="11"/>
        <v>0</v>
      </c>
      <c r="K23" s="9">
        <f t="shared" si="5"/>
        <v>12124.66273132585</v>
      </c>
      <c r="L23" s="35">
        <f t="shared" si="6"/>
        <v>37601.66844845085</v>
      </c>
      <c r="M23" s="9">
        <f t="shared" si="0"/>
        <v>114485.31842907757</v>
      </c>
      <c r="N23" s="22">
        <f t="shared" si="7"/>
        <v>0.7202507311964058</v>
      </c>
      <c r="O23" s="9">
        <f t="shared" si="1"/>
        <v>82458.13430979647</v>
      </c>
      <c r="P23" s="9">
        <f t="shared" si="2"/>
        <v>114485.31842907757</v>
      </c>
      <c r="Q23" s="1">
        <f t="shared" si="3"/>
        <v>366553.75592907757</v>
      </c>
    </row>
    <row r="24" spans="1:17" ht="12.75">
      <c r="A24" s="3">
        <v>6</v>
      </c>
      <c r="B24" s="8"/>
      <c r="C24" s="9">
        <f>C23*(1+$B$3)</f>
        <v>409005.2894700587</v>
      </c>
      <c r="D24" s="9">
        <f t="shared" si="4"/>
        <v>-42740.79615269136</v>
      </c>
      <c r="E24" s="9">
        <f t="shared" si="8"/>
        <v>5849574.955598687</v>
      </c>
      <c r="F24" s="9">
        <f>iWoDat!$D$17</f>
        <v>252068.4375</v>
      </c>
      <c r="G24" s="30">
        <f t="shared" si="9"/>
        <v>18382.94537328</v>
      </c>
      <c r="H24" s="9">
        <f t="shared" si="10"/>
        <v>8237.233829703124</v>
      </c>
      <c r="I24" s="9">
        <v>16000</v>
      </c>
      <c r="J24" s="9">
        <f t="shared" si="11"/>
        <v>0</v>
      </c>
      <c r="K24" s="9">
        <f t="shared" si="5"/>
        <v>12270.15868410176</v>
      </c>
      <c r="L24" s="35">
        <f t="shared" si="6"/>
        <v>54890.33788708488</v>
      </c>
      <c r="M24" s="9">
        <f t="shared" si="0"/>
        <v>102046.51408297382</v>
      </c>
      <c r="N24" s="22">
        <f t="shared" si="7"/>
        <v>0.6744976632327834</v>
      </c>
      <c r="O24" s="9">
        <f t="shared" si="1"/>
        <v>68830.13529001716</v>
      </c>
      <c r="P24" s="9">
        <f t="shared" si="2"/>
        <v>102046.51408297382</v>
      </c>
      <c r="Q24" s="1">
        <f t="shared" si="3"/>
        <v>354114.9515829738</v>
      </c>
    </row>
    <row r="25" spans="1:17" ht="12.75">
      <c r="A25" s="3">
        <v>7</v>
      </c>
      <c r="B25" s="8"/>
      <c r="C25" s="9">
        <f>C24*(1+$B$3)</f>
        <v>413913.3529436994</v>
      </c>
      <c r="D25" s="9">
        <f t="shared" si="4"/>
        <v>-42430.76937667839</v>
      </c>
      <c r="E25" s="9">
        <f t="shared" si="8"/>
        <v>5807144.186222008</v>
      </c>
      <c r="F25" s="9">
        <f>iWoDat!$D$17</f>
        <v>252068.4375</v>
      </c>
      <c r="G25" s="30">
        <f t="shared" si="9"/>
        <v>18750.6042807456</v>
      </c>
      <c r="H25" s="9">
        <f t="shared" si="10"/>
        <v>9102.143381821952</v>
      </c>
      <c r="I25" s="9">
        <v>0</v>
      </c>
      <c r="J25" s="9">
        <f t="shared" si="11"/>
        <v>0</v>
      </c>
      <c r="K25" s="9">
        <f t="shared" si="5"/>
        <v>12417.400588310982</v>
      </c>
      <c r="L25" s="35">
        <f t="shared" si="6"/>
        <v>40270.148250878534</v>
      </c>
      <c r="M25" s="9">
        <f t="shared" si="0"/>
        <v>121574.7671928209</v>
      </c>
      <c r="N25" s="22">
        <f t="shared" si="7"/>
        <v>0.6316510042978705</v>
      </c>
      <c r="O25" s="9">
        <f t="shared" si="1"/>
        <v>76792.82379462512</v>
      </c>
      <c r="P25" s="9">
        <f t="shared" si="2"/>
        <v>121574.7671928209</v>
      </c>
      <c r="Q25" s="1">
        <f t="shared" si="3"/>
        <v>373643.2046928209</v>
      </c>
    </row>
    <row r="26" spans="1:17" ht="12.75">
      <c r="A26" s="3">
        <v>8</v>
      </c>
      <c r="B26" s="8"/>
      <c r="C26" s="9">
        <f>C25*(1+$B$3)</f>
        <v>418880.3131790238</v>
      </c>
      <c r="D26" s="9">
        <f t="shared" si="4"/>
        <v>-42122.991426389664</v>
      </c>
      <c r="E26" s="9">
        <f t="shared" si="8"/>
        <v>5765021.194795619</v>
      </c>
      <c r="F26" s="9">
        <f>iWoDat!$D$17</f>
        <v>252068.4375</v>
      </c>
      <c r="G26" s="30">
        <f t="shared" si="9"/>
        <v>19125.61636636051</v>
      </c>
      <c r="H26" s="9">
        <f t="shared" si="10"/>
        <v>10057.868436913257</v>
      </c>
      <c r="I26" s="9">
        <v>15500</v>
      </c>
      <c r="J26" s="9">
        <f t="shared" si="11"/>
        <v>0</v>
      </c>
      <c r="K26" s="9">
        <f t="shared" si="5"/>
        <v>12566.409395370714</v>
      </c>
      <c r="L26" s="35">
        <f t="shared" si="6"/>
        <v>57249.89419864448</v>
      </c>
      <c r="M26" s="9">
        <f t="shared" si="0"/>
        <v>109561.98148037936</v>
      </c>
      <c r="N26" s="22">
        <f t="shared" si="7"/>
        <v>0.5915261282273869</v>
      </c>
      <c r="O26" s="9">
        <f t="shared" si="1"/>
        <v>64808.77470600947</v>
      </c>
      <c r="P26" s="9">
        <f t="shared" si="2"/>
        <v>109561.98148037936</v>
      </c>
      <c r="Q26" s="1">
        <f t="shared" si="3"/>
        <v>361630.41898037936</v>
      </c>
    </row>
    <row r="27" spans="1:17" ht="12.75">
      <c r="A27" s="3">
        <v>9</v>
      </c>
      <c r="B27" s="8"/>
      <c r="C27" s="9">
        <f>C26*(1+$B$3)</f>
        <v>423906.8769371721</v>
      </c>
      <c r="D27" s="9">
        <f t="shared" si="4"/>
        <v>-41817.445989629254</v>
      </c>
      <c r="E27" s="9">
        <f t="shared" si="8"/>
        <v>5723203.7488059895</v>
      </c>
      <c r="F27" s="9">
        <f>iWoDat!$D$17</f>
        <v>252068.4375</v>
      </c>
      <c r="G27" s="30">
        <f t="shared" si="9"/>
        <v>19508.128693687722</v>
      </c>
      <c r="H27" s="9">
        <f t="shared" si="10"/>
        <v>11113.94462278915</v>
      </c>
      <c r="I27" s="9">
        <v>0</v>
      </c>
      <c r="J27" s="9">
        <f t="shared" si="11"/>
        <v>0</v>
      </c>
      <c r="K27" s="9">
        <f t="shared" si="5"/>
        <v>12717.206308115163</v>
      </c>
      <c r="L27" s="35">
        <f t="shared" si="6"/>
        <v>43339.27962459203</v>
      </c>
      <c r="M27" s="9">
        <f t="shared" si="0"/>
        <v>128499.15981258004</v>
      </c>
      <c r="N27" s="22">
        <f t="shared" si="7"/>
        <v>0.5539501370137578</v>
      </c>
      <c r="O27" s="9">
        <f t="shared" si="1"/>
        <v>71182.12718433148</v>
      </c>
      <c r="P27" s="9">
        <f t="shared" si="2"/>
        <v>128499.15981258004</v>
      </c>
      <c r="Q27" s="1">
        <f t="shared" si="3"/>
        <v>380567.59731258004</v>
      </c>
    </row>
    <row r="28" spans="1:17" ht="12.75">
      <c r="A28" s="3">
        <v>10</v>
      </c>
      <c r="B28" s="8"/>
      <c r="C28" s="23">
        <f>C27*(1+$B$3)</f>
        <v>428993.75946041814</v>
      </c>
      <c r="D28" s="9">
        <f t="shared" si="4"/>
        <v>-41514.116872526705</v>
      </c>
      <c r="E28" s="9">
        <f t="shared" si="8"/>
        <v>5681689.631933463</v>
      </c>
      <c r="F28" s="9">
        <f>iWoDat!$D$17</f>
        <v>252068.4375</v>
      </c>
      <c r="G28" s="30">
        <f t="shared" si="9"/>
        <v>19898.291267561475</v>
      </c>
      <c r="H28" s="9">
        <f t="shared" si="10"/>
        <v>12280.90880818201</v>
      </c>
      <c r="I28" s="9">
        <v>45000</v>
      </c>
      <c r="J28" s="9">
        <f t="shared" si="11"/>
        <v>0</v>
      </c>
      <c r="K28" s="9">
        <f t="shared" si="5"/>
        <v>12869.812783812544</v>
      </c>
      <c r="L28" s="35">
        <f t="shared" si="6"/>
        <v>90049.01285955604</v>
      </c>
      <c r="M28" s="9">
        <f t="shared" si="0"/>
        <v>86876.30910086213</v>
      </c>
      <c r="N28" s="22">
        <f t="shared" si="7"/>
        <v>0.5187611157889573</v>
      </c>
      <c r="O28" s="9">
        <f t="shared" si="1"/>
        <v>45068.05104478959</v>
      </c>
      <c r="P28" s="9">
        <f t="shared" si="2"/>
        <v>86876.30910086213</v>
      </c>
      <c r="Q28" s="1">
        <f t="shared" si="3"/>
        <v>338944.7466008621</v>
      </c>
    </row>
    <row r="29" spans="1:17" ht="12.75">
      <c r="A29" s="3">
        <v>11</v>
      </c>
      <c r="B29" s="8"/>
      <c r="C29" s="9">
        <f>C28*(1+$B$4)</f>
        <v>431567.72201718064</v>
      </c>
      <c r="D29" s="9">
        <f t="shared" si="4"/>
        <v>-41212.987998674624</v>
      </c>
      <c r="E29" s="9">
        <f t="shared" si="8"/>
        <v>5640476.643934788</v>
      </c>
      <c r="F29" s="9">
        <f>iWoDarl!$C$8</f>
        <v>287023.79606145696</v>
      </c>
      <c r="G29" s="30">
        <f t="shared" si="9"/>
        <v>20296.257092912707</v>
      </c>
      <c r="H29" s="9">
        <f t="shared" si="10"/>
        <v>13570.404233041121</v>
      </c>
      <c r="I29" s="9">
        <v>5000</v>
      </c>
      <c r="J29" s="9">
        <f t="shared" si="11"/>
        <v>0</v>
      </c>
      <c r="K29" s="9">
        <f t="shared" si="5"/>
        <v>12947.031660515418</v>
      </c>
      <c r="L29" s="35">
        <f t="shared" si="6"/>
        <v>51813.69298646925</v>
      </c>
      <c r="M29" s="9">
        <f t="shared" si="0"/>
        <v>92730.23296925449</v>
      </c>
      <c r="N29" s="22">
        <f t="shared" si="7"/>
        <v>0.48580743513367936</v>
      </c>
      <c r="O29" s="9">
        <f t="shared" si="1"/>
        <v>45049.036638142075</v>
      </c>
      <c r="P29" s="9">
        <f t="shared" si="2"/>
        <v>92730.23296925449</v>
      </c>
      <c r="Q29" s="1">
        <f t="shared" si="3"/>
        <v>379754.02903071145</v>
      </c>
    </row>
    <row r="30" spans="1:17" ht="12.75">
      <c r="A30" s="3">
        <v>12</v>
      </c>
      <c r="B30" s="8"/>
      <c r="C30" s="9">
        <f>C29*(1+$B$4)</f>
        <v>434157.1283492837</v>
      </c>
      <c r="D30" s="9">
        <f t="shared" si="4"/>
        <v>-40914.043408277445</v>
      </c>
      <c r="E30" s="9">
        <f t="shared" si="8"/>
        <v>5599562.600526511</v>
      </c>
      <c r="F30" s="9">
        <f>iWoDarl!$C$8</f>
        <v>287023.79606145696</v>
      </c>
      <c r="G30" s="30">
        <f t="shared" si="9"/>
        <v>20702.18223477096</v>
      </c>
      <c r="H30" s="9">
        <f t="shared" si="10"/>
        <v>14995.296677510438</v>
      </c>
      <c r="I30" s="9">
        <v>0</v>
      </c>
      <c r="J30" s="9">
        <f t="shared" si="11"/>
        <v>0</v>
      </c>
      <c r="K30" s="9">
        <f t="shared" si="5"/>
        <v>13024.71385047851</v>
      </c>
      <c r="L30" s="35">
        <f t="shared" si="6"/>
        <v>48722.19276275991</v>
      </c>
      <c r="M30" s="9">
        <f t="shared" si="0"/>
        <v>98411.13952506683</v>
      </c>
      <c r="N30" s="22">
        <f t="shared" si="7"/>
        <v>0.4549470977064853</v>
      </c>
      <c r="O30" s="9">
        <f t="shared" si="1"/>
        <v>44771.86230891713</v>
      </c>
      <c r="P30" s="9">
        <f t="shared" si="2"/>
        <v>98411.13952506683</v>
      </c>
      <c r="Q30" s="1">
        <f t="shared" si="3"/>
        <v>385434.9355865238</v>
      </c>
    </row>
    <row r="31" spans="1:17" ht="12.75">
      <c r="A31" s="3">
        <v>13</v>
      </c>
      <c r="B31" s="8"/>
      <c r="C31" s="9">
        <f>C30*(1+$B$4)</f>
        <v>436762.0711193794</v>
      </c>
      <c r="D31" s="9">
        <f t="shared" si="4"/>
        <v>-40617.26725730952</v>
      </c>
      <c r="E31" s="9">
        <f t="shared" si="8"/>
        <v>5558945.333269201</v>
      </c>
      <c r="F31" s="9">
        <f>iWoDarl!$C$8</f>
        <v>287023.79606145696</v>
      </c>
      <c r="G31" s="30">
        <f t="shared" si="9"/>
        <v>21116.22587946638</v>
      </c>
      <c r="H31" s="9">
        <f t="shared" si="10"/>
        <v>16569.802828649033</v>
      </c>
      <c r="I31" s="9">
        <v>0</v>
      </c>
      <c r="J31" s="9">
        <f t="shared" si="11"/>
        <v>0</v>
      </c>
      <c r="K31" s="9">
        <f t="shared" si="5"/>
        <v>13102.862133581382</v>
      </c>
      <c r="L31" s="35">
        <f t="shared" si="6"/>
        <v>50788.89084169679</v>
      </c>
      <c r="M31" s="9">
        <f t="shared" si="0"/>
        <v>98949.38421622565</v>
      </c>
      <c r="N31" s="22">
        <f t="shared" si="7"/>
        <v>0.42604712637755443</v>
      </c>
      <c r="O31" s="9">
        <f t="shared" si="1"/>
        <v>42157.10080215148</v>
      </c>
      <c r="P31" s="9">
        <f t="shared" si="2"/>
        <v>98949.38421622565</v>
      </c>
      <c r="Q31" s="1">
        <f t="shared" si="3"/>
        <v>385973.1802776826</v>
      </c>
    </row>
    <row r="32" spans="1:17" ht="12.75">
      <c r="A32" s="3">
        <v>14</v>
      </c>
      <c r="B32" s="8"/>
      <c r="C32" s="9">
        <f>C31*(1+$B$4)</f>
        <v>439382.6435460957</v>
      </c>
      <c r="D32" s="9">
        <f t="shared" si="4"/>
        <v>-40322.64381666854</v>
      </c>
      <c r="E32" s="9">
        <f t="shared" si="8"/>
        <v>5518622.689452533</v>
      </c>
      <c r="F32" s="9">
        <f>iWoDarl!$C$8</f>
        <v>287023.79606145696</v>
      </c>
      <c r="G32" s="30">
        <f t="shared" si="9"/>
        <v>21538.550397055707</v>
      </c>
      <c r="H32" s="9">
        <f t="shared" si="10"/>
        <v>18309.632125657183</v>
      </c>
      <c r="I32" s="9">
        <v>50000</v>
      </c>
      <c r="J32" s="9">
        <f t="shared" si="11"/>
        <v>0</v>
      </c>
      <c r="K32" s="9">
        <f t="shared" si="5"/>
        <v>13181.479306382871</v>
      </c>
      <c r="L32" s="35">
        <f t="shared" si="6"/>
        <v>103029.66182909576</v>
      </c>
      <c r="M32" s="9">
        <f t="shared" si="0"/>
        <v>49329.185655543</v>
      </c>
      <c r="N32" s="22">
        <f t="shared" si="7"/>
        <v>0.3989829912305083</v>
      </c>
      <c r="O32" s="9">
        <f t="shared" si="1"/>
        <v>19681.506047813626</v>
      </c>
      <c r="P32" s="9">
        <f t="shared" si="2"/>
        <v>49329.185655543</v>
      </c>
      <c r="Q32" s="1">
        <f t="shared" si="3"/>
        <v>336352.98171699996</v>
      </c>
    </row>
    <row r="33" spans="1:17" ht="12.75">
      <c r="A33" s="3">
        <v>15</v>
      </c>
      <c r="B33" s="8"/>
      <c r="C33" s="23">
        <f>C32*(1+$B$4)</f>
        <v>442018.93940737227</v>
      </c>
      <c r="D33" s="9">
        <f t="shared" si="4"/>
        <v>-40030.1574713476</v>
      </c>
      <c r="E33" s="9">
        <f t="shared" si="8"/>
        <v>5478592.531981185</v>
      </c>
      <c r="F33" s="9">
        <f>iWoDarl!$C$8</f>
        <v>287023.79606145696</v>
      </c>
      <c r="G33" s="30">
        <f t="shared" si="9"/>
        <v>21969.321404996823</v>
      </c>
      <c r="H33" s="9">
        <f t="shared" si="10"/>
        <v>20232.143498851186</v>
      </c>
      <c r="I33" s="9">
        <v>0</v>
      </c>
      <c r="J33" s="9">
        <f t="shared" si="11"/>
        <v>0</v>
      </c>
      <c r="K33" s="9">
        <f t="shared" si="5"/>
        <v>13260.568182221168</v>
      </c>
      <c r="L33" s="35">
        <f t="shared" si="6"/>
        <v>55462.03308606918</v>
      </c>
      <c r="M33" s="9">
        <f t="shared" si="0"/>
        <v>99533.11025984614</v>
      </c>
      <c r="N33" s="22">
        <f t="shared" si="7"/>
        <v>0.3736380729632599</v>
      </c>
      <c r="O33" s="9">
        <f t="shared" si="1"/>
        <v>37189.35951352859</v>
      </c>
      <c r="P33" s="9">
        <f t="shared" si="2"/>
        <v>99533.11025984614</v>
      </c>
      <c r="Q33" s="1">
        <f t="shared" si="3"/>
        <v>386556.9063213031</v>
      </c>
    </row>
    <row r="34" spans="1:17" ht="12.75">
      <c r="A34" s="3">
        <v>16</v>
      </c>
      <c r="B34" s="8"/>
      <c r="C34" s="9">
        <f>C33*(1+$B$5)</f>
        <v>442018.93940737227</v>
      </c>
      <c r="D34" s="9">
        <f t="shared" si="4"/>
        <v>-39739.79271960538</v>
      </c>
      <c r="E34" s="9">
        <f t="shared" si="8"/>
        <v>5438852.73926158</v>
      </c>
      <c r="F34" s="9">
        <f>iWoDarl!$C$8</f>
        <v>287023.79606145696</v>
      </c>
      <c r="G34" s="30">
        <f t="shared" si="9"/>
        <v>22408.70783309676</v>
      </c>
      <c r="H34" s="9">
        <f t="shared" si="10"/>
        <v>22356.51856623056</v>
      </c>
      <c r="I34" s="9">
        <v>0</v>
      </c>
      <c r="J34" s="9">
        <f t="shared" si="11"/>
        <v>0</v>
      </c>
      <c r="K34" s="9">
        <f t="shared" si="5"/>
        <v>13260.568182221168</v>
      </c>
      <c r="L34" s="35">
        <f t="shared" si="6"/>
        <v>58025.79458154849</v>
      </c>
      <c r="M34" s="9">
        <f t="shared" si="0"/>
        <v>96969.34876436688</v>
      </c>
      <c r="N34" s="22">
        <f t="shared" si="7"/>
        <v>0.34990316037568303</v>
      </c>
      <c r="O34" s="9">
        <f t="shared" si="1"/>
        <v>33929.88159222381</v>
      </c>
      <c r="P34" s="9">
        <f t="shared" si="2"/>
        <v>96969.34876436688</v>
      </c>
      <c r="Q34" s="1">
        <f t="shared" si="3"/>
        <v>383993.14482582384</v>
      </c>
    </row>
    <row r="35" spans="1:17" ht="12.75">
      <c r="A35" s="3">
        <v>17</v>
      </c>
      <c r="B35" s="8"/>
      <c r="C35" s="9">
        <f>C34*(1+$B$5)</f>
        <v>442018.93940737227</v>
      </c>
      <c r="D35" s="9">
        <f t="shared" si="4"/>
        <v>-39451.53417214472</v>
      </c>
      <c r="E35" s="9">
        <f t="shared" si="8"/>
        <v>5399401.205089435</v>
      </c>
      <c r="F35" s="9">
        <f>iWoDarl!$C$8</f>
        <v>287023.79606145696</v>
      </c>
      <c r="G35" s="30">
        <f t="shared" si="9"/>
        <v>22856.881989758695</v>
      </c>
      <c r="H35" s="9">
        <f t="shared" si="10"/>
        <v>24703.95301568477</v>
      </c>
      <c r="I35" s="9">
        <v>40000</v>
      </c>
      <c r="J35" s="9">
        <f t="shared" si="11"/>
        <v>0</v>
      </c>
      <c r="K35" s="9">
        <f t="shared" si="5"/>
        <v>13260.568182221168</v>
      </c>
      <c r="L35" s="35">
        <f t="shared" si="6"/>
        <v>100821.40318766462</v>
      </c>
      <c r="M35" s="9">
        <f t="shared" si="0"/>
        <v>54173.74015825067</v>
      </c>
      <c r="N35" s="22">
        <f t="shared" si="7"/>
        <v>0.3276759797787787</v>
      </c>
      <c r="O35" s="9">
        <f t="shared" si="1"/>
        <v>17751.43338463576</v>
      </c>
      <c r="P35" s="9">
        <f t="shared" si="2"/>
        <v>54173.74015825067</v>
      </c>
      <c r="Q35" s="1">
        <f t="shared" si="3"/>
        <v>341197.53621970763</v>
      </c>
    </row>
    <row r="36" spans="1:17" ht="12.75">
      <c r="A36" s="3">
        <v>18</v>
      </c>
      <c r="B36" s="8"/>
      <c r="C36" s="9">
        <f>C35*(1+$B$5)</f>
        <v>442018.93940737227</v>
      </c>
      <c r="D36" s="9">
        <f t="shared" si="4"/>
        <v>-39165.366551296785</v>
      </c>
      <c r="E36" s="9">
        <f t="shared" si="8"/>
        <v>5360235.838538138</v>
      </c>
      <c r="F36" s="9">
        <f>iWoDarl!$C$8</f>
        <v>287023.79606145696</v>
      </c>
      <c r="G36" s="30">
        <f t="shared" si="9"/>
        <v>23314.01962955387</v>
      </c>
      <c r="H36" s="9">
        <f t="shared" si="10"/>
        <v>27297.868082331668</v>
      </c>
      <c r="I36" s="9">
        <v>32000</v>
      </c>
      <c r="J36" s="9">
        <f t="shared" si="11"/>
        <v>0</v>
      </c>
      <c r="K36" s="9">
        <f t="shared" si="5"/>
        <v>13260.568182221168</v>
      </c>
      <c r="L36" s="35">
        <f t="shared" si="6"/>
        <v>95872.4558941067</v>
      </c>
      <c r="M36" s="9">
        <f t="shared" si="0"/>
        <v>59122.6874518086</v>
      </c>
      <c r="N36" s="22">
        <f t="shared" si="7"/>
        <v>0.3068607542975611</v>
      </c>
      <c r="O36" s="9">
        <f t="shared" si="1"/>
        <v>18142.432467560935</v>
      </c>
      <c r="P36" s="9">
        <f t="shared" si="2"/>
        <v>59122.6874518086</v>
      </c>
      <c r="Q36" s="1">
        <f t="shared" si="3"/>
        <v>346146.48351326556</v>
      </c>
    </row>
    <row r="37" spans="1:17" ht="12.75">
      <c r="A37" s="3">
        <v>19</v>
      </c>
      <c r="B37" s="8"/>
      <c r="C37" s="9">
        <f>C36*(1+$B$5)</f>
        <v>442018.93940737227</v>
      </c>
      <c r="D37" s="9">
        <f t="shared" si="4"/>
        <v>-38881.27469021175</v>
      </c>
      <c r="E37" s="9">
        <f t="shared" si="8"/>
        <v>5321354.563847926</v>
      </c>
      <c r="F37" s="9">
        <f>iWoDarl!$C$8</f>
        <v>287023.79606145696</v>
      </c>
      <c r="G37" s="30">
        <f t="shared" si="9"/>
        <v>23780.300022144947</v>
      </c>
      <c r="H37" s="9">
        <f t="shared" si="10"/>
        <v>30164.144230976493</v>
      </c>
      <c r="I37" s="9">
        <v>15000</v>
      </c>
      <c r="J37" s="9">
        <f t="shared" si="11"/>
        <v>0</v>
      </c>
      <c r="K37" s="9">
        <f t="shared" si="5"/>
        <v>13260.568182221168</v>
      </c>
      <c r="L37" s="35">
        <f t="shared" si="6"/>
        <v>82205.0124353426</v>
      </c>
      <c r="M37" s="9">
        <f t="shared" si="0"/>
        <v>72790.13091057271</v>
      </c>
      <c r="N37" s="22">
        <f t="shared" si="7"/>
        <v>0.28736779116870276</v>
      </c>
      <c r="O37" s="9">
        <f t="shared" si="1"/>
        <v>20917.539138651995</v>
      </c>
      <c r="P37" s="9">
        <f t="shared" si="2"/>
        <v>72790.13091057271</v>
      </c>
      <c r="Q37" s="1">
        <f t="shared" si="3"/>
        <v>359813.9269720297</v>
      </c>
    </row>
    <row r="38" spans="1:17" ht="12.75">
      <c r="A38" s="3">
        <v>20</v>
      </c>
      <c r="B38" s="9">
        <f>B14-B15</f>
        <v>1866953.131997013</v>
      </c>
      <c r="C38" s="9">
        <f>C37*(1+$B$5)</f>
        <v>442018.93940737227</v>
      </c>
      <c r="D38" s="9">
        <f t="shared" si="4"/>
        <v>-38599.24353205506</v>
      </c>
      <c r="E38" s="31">
        <f t="shared" si="8"/>
        <v>5282755.320315871</v>
      </c>
      <c r="F38" s="9">
        <f>iWoDarl!$C$8</f>
        <v>287023.79606145696</v>
      </c>
      <c r="G38" s="30">
        <f t="shared" si="9"/>
        <v>24255.906022587846</v>
      </c>
      <c r="H38" s="23">
        <f t="shared" si="10"/>
        <v>33331.37937522902</v>
      </c>
      <c r="I38" s="23">
        <v>0</v>
      </c>
      <c r="J38" s="9">
        <f t="shared" si="11"/>
        <v>0</v>
      </c>
      <c r="K38" s="9">
        <f t="shared" si="5"/>
        <v>13260.568182221168</v>
      </c>
      <c r="L38" s="35">
        <f t="shared" si="6"/>
        <v>70847.85358003803</v>
      </c>
      <c r="M38" s="9">
        <f t="shared" si="0"/>
        <v>84147.2897658773</v>
      </c>
      <c r="N38" s="22">
        <f t="shared" si="7"/>
        <v>0.2691130952546039</v>
      </c>
      <c r="O38" s="24">
        <f>M38*N38+B38*N38</f>
        <v>525066.6736531745</v>
      </c>
      <c r="P38" s="24">
        <f>M38+B38</f>
        <v>1951100.4217628902</v>
      </c>
      <c r="Q38" s="1">
        <f t="shared" si="3"/>
        <v>2238124.2178243473</v>
      </c>
    </row>
    <row r="39" spans="7:16" ht="12.75">
      <c r="G39" s="11">
        <f>AVERAGE(G19:G38)</f>
        <v>20227.560357599</v>
      </c>
      <c r="H39" s="11">
        <f>AVERAGE(H19:H38)</f>
        <v>15157.702004584798</v>
      </c>
      <c r="I39" s="11">
        <f>AVERAGE(I19:I38)</f>
        <v>10925</v>
      </c>
      <c r="J39" s="21"/>
      <c r="K39" s="21"/>
      <c r="L39" s="21"/>
      <c r="M39" s="11">
        <f>AVERAGE(M19:M38)</f>
        <v>92130.15899530996</v>
      </c>
      <c r="O39" s="2">
        <f>SUM(O18:O38)</f>
        <v>-1.979060471057892E-09</v>
      </c>
      <c r="P39" s="29">
        <f>IRR(P18:P38)</f>
        <v>0.06783280425959315</v>
      </c>
    </row>
    <row r="40" ht="12.75">
      <c r="B40" s="1"/>
    </row>
    <row r="41" ht="12.75">
      <c r="B41" s="25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65"/>
  <sheetViews>
    <sheetView tabSelected="1" workbookViewId="0" topLeftCell="M11">
      <selection activeCell="Q77" sqref="Q77"/>
    </sheetView>
  </sheetViews>
  <sheetFormatPr defaultColWidth="11.421875" defaultRowHeight="12.75"/>
  <cols>
    <col min="1" max="1" width="3.28125" style="0" bestFit="1" customWidth="1"/>
    <col min="2" max="2" width="10.140625" style="0" customWidth="1"/>
    <col min="3" max="3" width="8.00390625" style="0" customWidth="1"/>
    <col min="4" max="4" width="12.7109375" style="0" bestFit="1" customWidth="1"/>
    <col min="5" max="5" width="10.00390625" style="0" customWidth="1"/>
    <col min="6" max="6" width="11.28125" style="0" customWidth="1"/>
    <col min="7" max="7" width="10.28125" style="0" customWidth="1"/>
    <col min="8" max="8" width="8.00390625" style="0" customWidth="1"/>
    <col min="9" max="9" width="10.140625" style="0" customWidth="1"/>
    <col min="10" max="10" width="11.28125" style="0" customWidth="1"/>
    <col min="11" max="11" width="9.57421875" style="0" customWidth="1"/>
    <col min="12" max="12" width="13.00390625" style="0" bestFit="1" customWidth="1"/>
    <col min="13" max="13" width="8.00390625" style="0" customWidth="1"/>
    <col min="14" max="14" width="10.00390625" style="0" customWidth="1"/>
    <col min="15" max="15" width="8.57421875" style="0" customWidth="1"/>
    <col min="16" max="16" width="11.28125" style="0" customWidth="1"/>
  </cols>
  <sheetData>
    <row r="2" spans="3:6" ht="12.75">
      <c r="C2" t="s">
        <v>106</v>
      </c>
      <c r="F2" s="17">
        <f>J28</f>
        <v>0.06783280425959311</v>
      </c>
    </row>
    <row r="3" spans="3:7" ht="12.75">
      <c r="C3" t="s">
        <v>93</v>
      </c>
      <c r="F3" s="4">
        <v>0.35</v>
      </c>
      <c r="G3" s="4"/>
    </row>
    <row r="5" ht="12.75">
      <c r="P5" s="12"/>
    </row>
    <row r="6" spans="1:17" ht="14.25">
      <c r="A6" s="12" t="s">
        <v>43</v>
      </c>
      <c r="B6" s="27" t="s">
        <v>54</v>
      </c>
      <c r="C6" s="12" t="s">
        <v>48</v>
      </c>
      <c r="D6" s="27" t="s">
        <v>85</v>
      </c>
      <c r="E6" s="38" t="s">
        <v>105</v>
      </c>
      <c r="F6" s="12" t="s">
        <v>86</v>
      </c>
      <c r="G6" s="12" t="s">
        <v>98</v>
      </c>
      <c r="H6" s="36" t="s">
        <v>92</v>
      </c>
      <c r="I6" s="27" t="s">
        <v>97</v>
      </c>
      <c r="J6" s="12" t="s">
        <v>99</v>
      </c>
      <c r="K6" s="27" t="s">
        <v>88</v>
      </c>
      <c r="L6" s="12" t="s">
        <v>87</v>
      </c>
      <c r="M6" s="28" t="s">
        <v>84</v>
      </c>
      <c r="N6" s="12" t="s">
        <v>94</v>
      </c>
      <c r="O6" s="12" t="s">
        <v>95</v>
      </c>
      <c r="P6" s="27" t="s">
        <v>96</v>
      </c>
      <c r="Q6" s="12" t="s">
        <v>103</v>
      </c>
    </row>
    <row r="7" spans="1:17" ht="12.75">
      <c r="A7" s="39">
        <v>0</v>
      </c>
      <c r="B7" s="40">
        <f>iWoDat!$D$12*(-1)</f>
        <v>-1527687.5</v>
      </c>
      <c r="C7" s="41"/>
      <c r="D7" s="42"/>
      <c r="E7" s="43"/>
      <c r="F7" s="41"/>
      <c r="G7" s="44"/>
      <c r="H7" s="45"/>
      <c r="I7" s="46">
        <v>0</v>
      </c>
      <c r="J7" s="47">
        <f aca="true" t="shared" si="0" ref="J7:J27">B7+I7</f>
        <v>-1527687.5</v>
      </c>
      <c r="K7" s="48"/>
      <c r="L7" s="41"/>
      <c r="M7" s="49"/>
      <c r="N7" s="41"/>
      <c r="O7" s="50"/>
      <c r="P7" s="51">
        <f>J7+O7</f>
        <v>-1527687.5</v>
      </c>
      <c r="Q7" s="52"/>
    </row>
    <row r="8" spans="1:17" ht="12.75">
      <c r="A8" s="39">
        <v>1</v>
      </c>
      <c r="B8" s="53"/>
      <c r="C8" s="47">
        <f>iWoTab!C19</f>
        <v>376320</v>
      </c>
      <c r="D8" s="54">
        <f>iWoDarl!C12</f>
        <v>206237.8125</v>
      </c>
      <c r="E8" s="55"/>
      <c r="F8" s="56">
        <f>iWoTab!M18*0.03</f>
        <v>0</v>
      </c>
      <c r="G8" s="57">
        <f>iWoDat!$D$17</f>
        <v>252068.4375</v>
      </c>
      <c r="H8" s="58">
        <f>iWoTab!L19</f>
        <v>59282</v>
      </c>
      <c r="I8" s="51">
        <f aca="true" t="shared" si="1" ref="I8:I27">C8-H8-G8</f>
        <v>64969.5625</v>
      </c>
      <c r="J8" s="47">
        <f t="shared" si="0"/>
        <v>64969.5625</v>
      </c>
      <c r="K8" s="59">
        <f>iWoHK!$B$24</f>
        <v>4835125</v>
      </c>
      <c r="L8" s="60">
        <v>4</v>
      </c>
      <c r="M8" s="61">
        <f aca="true" t="shared" si="2" ref="M8:M27">$K$8*L8/100</f>
        <v>193405</v>
      </c>
      <c r="N8" s="62">
        <f aca="true" t="shared" si="3" ref="N8:N27">C8-D8+F8-H8-M8</f>
        <v>-82604.8125</v>
      </c>
      <c r="O8" s="63">
        <f>N8*$F$3*(-1)</f>
        <v>28911.684374999997</v>
      </c>
      <c r="P8" s="51">
        <f>J8+O8</f>
        <v>93881.246875</v>
      </c>
      <c r="Q8" s="52"/>
    </row>
    <row r="9" spans="1:17" ht="12.75">
      <c r="A9" s="39">
        <v>2</v>
      </c>
      <c r="B9" s="53"/>
      <c r="C9" s="47">
        <f>iWoTab!C20</f>
        <v>383093.76</v>
      </c>
      <c r="D9" s="54">
        <f>iWoDarl!C13</f>
        <v>204175.434375</v>
      </c>
      <c r="E9" s="55">
        <f>I8</f>
        <v>64969.5625</v>
      </c>
      <c r="F9" s="56">
        <f>E9*$F$2</f>
        <v>4407.0676158939</v>
      </c>
      <c r="G9" s="57">
        <f>iWoDat!$D$17</f>
        <v>252068.4375</v>
      </c>
      <c r="H9" s="58">
        <f>iWoTab!L20</f>
        <v>34000.8128</v>
      </c>
      <c r="I9" s="51">
        <f t="shared" si="1"/>
        <v>97024.5097</v>
      </c>
      <c r="J9" s="47">
        <f t="shared" si="0"/>
        <v>97024.5097</v>
      </c>
      <c r="K9" s="59">
        <f aca="true" t="shared" si="4" ref="K9:K27">K8-M8</f>
        <v>4641720</v>
      </c>
      <c r="L9" s="60">
        <v>4</v>
      </c>
      <c r="M9" s="61">
        <f t="shared" si="2"/>
        <v>193405</v>
      </c>
      <c r="N9" s="62">
        <f t="shared" si="3"/>
        <v>-44080.419559106114</v>
      </c>
      <c r="O9" s="63">
        <f aca="true" t="shared" si="5" ref="O9:O27">N9*$F$3*(-1)</f>
        <v>15428.146845687139</v>
      </c>
      <c r="P9" s="51">
        <f aca="true" t="shared" si="6" ref="P9:P27">J9+O9</f>
        <v>112452.65654568713</v>
      </c>
      <c r="Q9" s="52"/>
    </row>
    <row r="10" spans="1:17" ht="12.75">
      <c r="A10" s="39">
        <v>3</v>
      </c>
      <c r="B10" s="53"/>
      <c r="C10" s="47">
        <f>iWoTab!C21</f>
        <v>389989.44768000004</v>
      </c>
      <c r="D10" s="54">
        <f>iWoDarl!C14</f>
        <v>202020.24923437502</v>
      </c>
      <c r="E10" s="55">
        <f>E9+F9+I9</f>
        <v>166401.1398158939</v>
      </c>
      <c r="F10" s="56">
        <f aca="true" t="shared" si="7" ref="F10:F27">E10*$F$2</f>
        <v>11287.455945704716</v>
      </c>
      <c r="G10" s="57">
        <f>iWoDat!$D$17</f>
        <v>252068.4375</v>
      </c>
      <c r="H10" s="58">
        <f>iWoTab!L21</f>
        <v>35127.4684304</v>
      </c>
      <c r="I10" s="51">
        <f t="shared" si="1"/>
        <v>102793.54174960003</v>
      </c>
      <c r="J10" s="47">
        <f t="shared" si="0"/>
        <v>102793.54174960003</v>
      </c>
      <c r="K10" s="59">
        <f t="shared" si="4"/>
        <v>4448315</v>
      </c>
      <c r="L10" s="60">
        <v>4</v>
      </c>
      <c r="M10" s="61">
        <f t="shared" si="2"/>
        <v>193405</v>
      </c>
      <c r="N10" s="62">
        <f t="shared" si="3"/>
        <v>-29275.814039070276</v>
      </c>
      <c r="O10" s="63">
        <f t="shared" si="5"/>
        <v>10246.534913674595</v>
      </c>
      <c r="P10" s="51">
        <f t="shared" si="6"/>
        <v>113040.07666327462</v>
      </c>
      <c r="Q10" s="52"/>
    </row>
    <row r="11" spans="1:17" ht="12.75">
      <c r="A11" s="39">
        <v>4</v>
      </c>
      <c r="B11" s="53"/>
      <c r="C11" s="47">
        <f>iWoTab!C22</f>
        <v>397009.25773824006</v>
      </c>
      <c r="D11" s="54">
        <f>iWoDarl!C15</f>
        <v>199768.08076242186</v>
      </c>
      <c r="E11" s="55">
        <f aca="true" t="shared" si="8" ref="E11:E27">E10+F10+I10</f>
        <v>280482.13751119864</v>
      </c>
      <c r="F11" s="56">
        <f t="shared" si="7"/>
        <v>19025.889932109414</v>
      </c>
      <c r="G11" s="57">
        <f>iWoDat!$D$17</f>
        <v>252068.4375</v>
      </c>
      <c r="H11" s="58">
        <f>iWoTab!L22</f>
        <v>36325.5540571472</v>
      </c>
      <c r="I11" s="51">
        <f t="shared" si="1"/>
        <v>108615.26618109288</v>
      </c>
      <c r="J11" s="47">
        <f t="shared" si="0"/>
        <v>108615.26618109288</v>
      </c>
      <c r="K11" s="59">
        <f t="shared" si="4"/>
        <v>4254910</v>
      </c>
      <c r="L11" s="60">
        <v>4</v>
      </c>
      <c r="M11" s="61">
        <f t="shared" si="2"/>
        <v>193405</v>
      </c>
      <c r="N11" s="62">
        <f t="shared" si="3"/>
        <v>-13463.487149219582</v>
      </c>
      <c r="O11" s="63">
        <f t="shared" si="5"/>
        <v>4712.220502226854</v>
      </c>
      <c r="P11" s="51">
        <f t="shared" si="6"/>
        <v>113327.48668331973</v>
      </c>
      <c r="Q11" s="52"/>
    </row>
    <row r="12" spans="1:17" ht="12.75">
      <c r="A12" s="39">
        <v>5</v>
      </c>
      <c r="B12" s="53"/>
      <c r="C12" s="47">
        <f>iWoTab!C23</f>
        <v>404155.42437752837</v>
      </c>
      <c r="D12" s="54">
        <f>iWoDarl!C16</f>
        <v>197414.56470923085</v>
      </c>
      <c r="E12" s="55">
        <f t="shared" si="8"/>
        <v>408123.2936244009</v>
      </c>
      <c r="F12" s="56">
        <f t="shared" si="7"/>
        <v>27684.147490204432</v>
      </c>
      <c r="G12" s="57">
        <f>iWoDat!$D$17</f>
        <v>252068.4375</v>
      </c>
      <c r="H12" s="58">
        <f>iWoTab!L23</f>
        <v>37601.66844845085</v>
      </c>
      <c r="I12" s="51">
        <f t="shared" si="1"/>
        <v>114485.31842907751</v>
      </c>
      <c r="J12" s="47">
        <f t="shared" si="0"/>
        <v>114485.31842907751</v>
      </c>
      <c r="K12" s="59">
        <f t="shared" si="4"/>
        <v>4061505</v>
      </c>
      <c r="L12" s="60">
        <v>4</v>
      </c>
      <c r="M12" s="61">
        <f t="shared" si="2"/>
        <v>193405</v>
      </c>
      <c r="N12" s="62">
        <f t="shared" si="3"/>
        <v>3418.338710051088</v>
      </c>
      <c r="O12" s="63">
        <f t="shared" si="5"/>
        <v>-1196.4185485178807</v>
      </c>
      <c r="P12" s="51">
        <f t="shared" si="6"/>
        <v>113288.89988055963</v>
      </c>
      <c r="Q12" s="52"/>
    </row>
    <row r="13" spans="1:17" ht="12.75">
      <c r="A13" s="39">
        <v>6</v>
      </c>
      <c r="B13" s="53"/>
      <c r="C13" s="47">
        <f>iWoTab!C24</f>
        <v>409005.2894700587</v>
      </c>
      <c r="D13" s="54">
        <f>iWoDarl!C17</f>
        <v>194955.14043364624</v>
      </c>
      <c r="E13" s="55">
        <f t="shared" si="8"/>
        <v>550292.7595436829</v>
      </c>
      <c r="F13" s="56">
        <f t="shared" si="7"/>
        <v>37327.90104359798</v>
      </c>
      <c r="G13" s="57">
        <f>iWoDat!$D$17</f>
        <v>252068.4375</v>
      </c>
      <c r="H13" s="58">
        <f>iWoTab!L24</f>
        <v>54890.33788708488</v>
      </c>
      <c r="I13" s="51">
        <f t="shared" si="1"/>
        <v>102046.51408297382</v>
      </c>
      <c r="J13" s="47">
        <f t="shared" si="0"/>
        <v>102046.51408297382</v>
      </c>
      <c r="K13" s="59">
        <f t="shared" si="4"/>
        <v>3868100</v>
      </c>
      <c r="L13" s="60">
        <v>4</v>
      </c>
      <c r="M13" s="61">
        <f t="shared" si="2"/>
        <v>193405</v>
      </c>
      <c r="N13" s="62">
        <f t="shared" si="3"/>
        <v>3082.7121929255663</v>
      </c>
      <c r="O13" s="63">
        <f t="shared" si="5"/>
        <v>-1078.949267523948</v>
      </c>
      <c r="P13" s="51">
        <f t="shared" si="6"/>
        <v>100967.56481544988</v>
      </c>
      <c r="Q13" s="52"/>
    </row>
    <row r="14" spans="1:17" ht="12.75">
      <c r="A14" s="39">
        <v>7</v>
      </c>
      <c r="B14" s="53"/>
      <c r="C14" s="47">
        <f>iWoTab!C25</f>
        <v>413913.3529436994</v>
      </c>
      <c r="D14" s="54">
        <f>iWoDarl!C18</f>
        <v>192385.04206566032</v>
      </c>
      <c r="E14" s="55">
        <f t="shared" si="8"/>
        <v>689667.1746702547</v>
      </c>
      <c r="F14" s="56">
        <f t="shared" si="7"/>
        <v>46782.058463673995</v>
      </c>
      <c r="G14" s="57">
        <f>iWoDat!$D$17</f>
        <v>252068.4375</v>
      </c>
      <c r="H14" s="58">
        <f>iWoTab!L25</f>
        <v>40270.148250878534</v>
      </c>
      <c r="I14" s="51">
        <f t="shared" si="1"/>
        <v>121574.76719282084</v>
      </c>
      <c r="J14" s="47">
        <f t="shared" si="0"/>
        <v>121574.76719282084</v>
      </c>
      <c r="K14" s="59">
        <f t="shared" si="4"/>
        <v>3674695</v>
      </c>
      <c r="L14" s="60">
        <v>4</v>
      </c>
      <c r="M14" s="61">
        <f t="shared" si="2"/>
        <v>193405</v>
      </c>
      <c r="N14" s="62">
        <f t="shared" si="3"/>
        <v>34635.22109083456</v>
      </c>
      <c r="O14" s="63">
        <f t="shared" si="5"/>
        <v>-12122.327381792094</v>
      </c>
      <c r="P14" s="51">
        <f t="shared" si="6"/>
        <v>109452.43981102874</v>
      </c>
      <c r="Q14" s="52"/>
    </row>
    <row r="15" spans="1:17" ht="12.75">
      <c r="A15" s="39">
        <v>8</v>
      </c>
      <c r="B15" s="53"/>
      <c r="C15" s="47">
        <f>iWoTab!C26</f>
        <v>418880.3131790238</v>
      </c>
      <c r="D15" s="54">
        <f>iWoDarl!C19</f>
        <v>189699.28927111503</v>
      </c>
      <c r="E15" s="55">
        <f t="shared" si="8"/>
        <v>858024.0003267496</v>
      </c>
      <c r="F15" s="56">
        <f t="shared" si="7"/>
        <v>58202.17406419746</v>
      </c>
      <c r="G15" s="57">
        <f>iWoDat!$D$17</f>
        <v>252068.4375</v>
      </c>
      <c r="H15" s="58">
        <f>iWoTab!L26</f>
        <v>57249.89419864448</v>
      </c>
      <c r="I15" s="51">
        <f t="shared" si="1"/>
        <v>109561.9814803793</v>
      </c>
      <c r="J15" s="47">
        <f t="shared" si="0"/>
        <v>109561.9814803793</v>
      </c>
      <c r="K15" s="59">
        <f t="shared" si="4"/>
        <v>3481290</v>
      </c>
      <c r="L15" s="60">
        <v>4</v>
      </c>
      <c r="M15" s="61">
        <f t="shared" si="2"/>
        <v>193405</v>
      </c>
      <c r="N15" s="62">
        <f t="shared" si="3"/>
        <v>36728.303773461754</v>
      </c>
      <c r="O15" s="63">
        <f t="shared" si="5"/>
        <v>-12854.906320711612</v>
      </c>
      <c r="P15" s="51">
        <f t="shared" si="6"/>
        <v>96707.07515966769</v>
      </c>
      <c r="Q15" s="52"/>
    </row>
    <row r="16" spans="1:17" ht="12.75">
      <c r="A16" s="39">
        <v>9</v>
      </c>
      <c r="B16" s="53"/>
      <c r="C16" s="47">
        <f>iWoTab!C27</f>
        <v>423906.8769371721</v>
      </c>
      <c r="D16" s="54">
        <f>iWoDarl!C20</f>
        <v>186892.6776008152</v>
      </c>
      <c r="E16" s="55">
        <f t="shared" si="8"/>
        <v>1025788.1558713263</v>
      </c>
      <c r="F16" s="56">
        <f t="shared" si="7"/>
        <v>69582.08718902867</v>
      </c>
      <c r="G16" s="57">
        <f>iWoDat!$D$17</f>
        <v>252068.4375</v>
      </c>
      <c r="H16" s="58">
        <f>iWoTab!L27</f>
        <v>43339.27962459203</v>
      </c>
      <c r="I16" s="51">
        <f t="shared" si="1"/>
        <v>128499.15981258004</v>
      </c>
      <c r="J16" s="47">
        <f t="shared" si="0"/>
        <v>128499.15981258004</v>
      </c>
      <c r="K16" s="59">
        <f t="shared" si="4"/>
        <v>3287885</v>
      </c>
      <c r="L16" s="60">
        <v>4</v>
      </c>
      <c r="M16" s="61">
        <f t="shared" si="2"/>
        <v>193405</v>
      </c>
      <c r="N16" s="62">
        <f t="shared" si="3"/>
        <v>69852.00690079352</v>
      </c>
      <c r="O16" s="63">
        <f t="shared" si="5"/>
        <v>-24448.20241527773</v>
      </c>
      <c r="P16" s="51">
        <f t="shared" si="6"/>
        <v>104050.9573973023</v>
      </c>
      <c r="Q16" s="52"/>
    </row>
    <row r="17" spans="1:17" ht="12.75">
      <c r="A17" s="39">
        <v>10</v>
      </c>
      <c r="B17" s="53"/>
      <c r="C17" s="47">
        <f>iWoTab!C28</f>
        <v>428993.75946041814</v>
      </c>
      <c r="D17" s="54">
        <f>iWoDarl!C21</f>
        <v>183959.7684053519</v>
      </c>
      <c r="E17" s="55">
        <f t="shared" si="8"/>
        <v>1223869.4028729352</v>
      </c>
      <c r="F17" s="56">
        <f t="shared" si="7"/>
        <v>83018.49364438491</v>
      </c>
      <c r="G17" s="57">
        <f>iWoDat!$D$17</f>
        <v>252068.4375</v>
      </c>
      <c r="H17" s="58">
        <f>iWoTab!L28</f>
        <v>90049.01285955604</v>
      </c>
      <c r="I17" s="51">
        <f t="shared" si="1"/>
        <v>86876.30910086213</v>
      </c>
      <c r="J17" s="47">
        <f t="shared" si="0"/>
        <v>86876.30910086213</v>
      </c>
      <c r="K17" s="59">
        <f t="shared" si="4"/>
        <v>3094480</v>
      </c>
      <c r="L17" s="60">
        <v>4</v>
      </c>
      <c r="M17" s="61">
        <f t="shared" si="2"/>
        <v>193405</v>
      </c>
      <c r="N17" s="62">
        <f t="shared" si="3"/>
        <v>44598.47183989509</v>
      </c>
      <c r="O17" s="63">
        <f t="shared" si="5"/>
        <v>-15609.465143963282</v>
      </c>
      <c r="P17" s="51">
        <f t="shared" si="6"/>
        <v>71266.84395689884</v>
      </c>
      <c r="Q17" s="52"/>
    </row>
    <row r="18" spans="1:17" ht="12.75">
      <c r="A18" s="39">
        <v>11</v>
      </c>
      <c r="B18" s="53"/>
      <c r="C18" s="47">
        <f>iWoTab!C29</f>
        <v>431567.72201718064</v>
      </c>
      <c r="D18" s="54">
        <f>iWoDarl!C22</f>
        <v>241193.17106145696</v>
      </c>
      <c r="E18" s="55">
        <f t="shared" si="8"/>
        <v>1393764.2056181822</v>
      </c>
      <c r="F18" s="56">
        <f t="shared" si="7"/>
        <v>94542.93454372544</v>
      </c>
      <c r="G18" s="57">
        <f>iWoDarl!$C$8</f>
        <v>287023.79606145696</v>
      </c>
      <c r="H18" s="58">
        <f>iWoTab!L29</f>
        <v>51813.69298646925</v>
      </c>
      <c r="I18" s="51">
        <f t="shared" si="1"/>
        <v>92730.23296925443</v>
      </c>
      <c r="J18" s="47">
        <f t="shared" si="0"/>
        <v>92730.23296925443</v>
      </c>
      <c r="K18" s="59">
        <f t="shared" si="4"/>
        <v>2901075</v>
      </c>
      <c r="L18" s="60">
        <v>2.5</v>
      </c>
      <c r="M18" s="61">
        <f t="shared" si="2"/>
        <v>120878.125</v>
      </c>
      <c r="N18" s="62">
        <f t="shared" si="3"/>
        <v>112225.66751297988</v>
      </c>
      <c r="O18" s="63">
        <f t="shared" si="5"/>
        <v>-39278.983629542956</v>
      </c>
      <c r="P18" s="51">
        <f t="shared" si="6"/>
        <v>53451.249339711474</v>
      </c>
      <c r="Q18" s="52"/>
    </row>
    <row r="19" spans="1:17" ht="12.75">
      <c r="A19" s="39">
        <v>12</v>
      </c>
      <c r="B19" s="53"/>
      <c r="C19" s="47">
        <f>iWoTab!C30</f>
        <v>434157.1283492837</v>
      </c>
      <c r="D19" s="54">
        <f>iWoDarl!C23</f>
        <v>238443.33356145694</v>
      </c>
      <c r="E19" s="55">
        <f t="shared" si="8"/>
        <v>1581037.373131162</v>
      </c>
      <c r="F19" s="56">
        <f t="shared" si="7"/>
        <v>107246.19865870739</v>
      </c>
      <c r="G19" s="57">
        <f>iWoDarl!$C$8</f>
        <v>287023.79606145696</v>
      </c>
      <c r="H19" s="58">
        <f>iWoTab!L30</f>
        <v>48722.19276275991</v>
      </c>
      <c r="I19" s="51">
        <f t="shared" si="1"/>
        <v>98411.13952506683</v>
      </c>
      <c r="J19" s="47">
        <f t="shared" si="0"/>
        <v>98411.13952506683</v>
      </c>
      <c r="K19" s="59">
        <f t="shared" si="4"/>
        <v>2780196.875</v>
      </c>
      <c r="L19" s="60">
        <v>2.5</v>
      </c>
      <c r="M19" s="61">
        <f t="shared" si="2"/>
        <v>120878.125</v>
      </c>
      <c r="N19" s="62">
        <f t="shared" si="3"/>
        <v>133359.67568377423</v>
      </c>
      <c r="O19" s="63">
        <f t="shared" si="5"/>
        <v>-46675.886489320976</v>
      </c>
      <c r="P19" s="51">
        <f t="shared" si="6"/>
        <v>51735.25303574585</v>
      </c>
      <c r="Q19" s="52"/>
    </row>
    <row r="20" spans="1:17" ht="12.75">
      <c r="A20" s="39">
        <v>13</v>
      </c>
      <c r="B20" s="53"/>
      <c r="C20" s="47">
        <f>iWoTab!C31</f>
        <v>436762.0711193794</v>
      </c>
      <c r="D20" s="54">
        <f>iWoDarl!C24</f>
        <v>235528.50581145697</v>
      </c>
      <c r="E20" s="55">
        <f t="shared" si="8"/>
        <v>1786694.7113149362</v>
      </c>
      <c r="F20" s="56">
        <f t="shared" si="7"/>
        <v>121196.51262427628</v>
      </c>
      <c r="G20" s="57">
        <f>iWoDarl!$C$8</f>
        <v>287023.79606145696</v>
      </c>
      <c r="H20" s="58">
        <f>iWoTab!L31</f>
        <v>50788.89084169679</v>
      </c>
      <c r="I20" s="51">
        <f t="shared" si="1"/>
        <v>98949.38421622565</v>
      </c>
      <c r="J20" s="47">
        <f t="shared" si="0"/>
        <v>98949.38421622565</v>
      </c>
      <c r="K20" s="59">
        <f t="shared" si="4"/>
        <v>2659318.75</v>
      </c>
      <c r="L20" s="60">
        <v>2.5</v>
      </c>
      <c r="M20" s="61">
        <f t="shared" si="2"/>
        <v>120878.125</v>
      </c>
      <c r="N20" s="62">
        <f t="shared" si="3"/>
        <v>150763.062090502</v>
      </c>
      <c r="O20" s="63">
        <f t="shared" si="5"/>
        <v>-52767.0717316757</v>
      </c>
      <c r="P20" s="51">
        <f t="shared" si="6"/>
        <v>46182.31248454995</v>
      </c>
      <c r="Q20" s="52"/>
    </row>
    <row r="21" spans="1:17" ht="12.75">
      <c r="A21" s="39">
        <v>14</v>
      </c>
      <c r="B21" s="53"/>
      <c r="C21" s="47">
        <f>iWoTab!C32</f>
        <v>439382.6435460957</v>
      </c>
      <c r="D21" s="54">
        <f>iWoDarl!C25</f>
        <v>232438.78839645698</v>
      </c>
      <c r="E21" s="55">
        <f t="shared" si="8"/>
        <v>2006840.6081554382</v>
      </c>
      <c r="F21" s="56">
        <f t="shared" si="7"/>
        <v>136129.62615321064</v>
      </c>
      <c r="G21" s="57">
        <f>iWoDarl!$C$8</f>
        <v>287023.79606145696</v>
      </c>
      <c r="H21" s="58">
        <f>iWoTab!L32</f>
        <v>103029.66182909576</v>
      </c>
      <c r="I21" s="51">
        <f t="shared" si="1"/>
        <v>49329.185655543</v>
      </c>
      <c r="J21" s="47">
        <f t="shared" si="0"/>
        <v>49329.185655543</v>
      </c>
      <c r="K21" s="59">
        <f t="shared" si="4"/>
        <v>2538440.625</v>
      </c>
      <c r="L21" s="60">
        <v>2.5</v>
      </c>
      <c r="M21" s="61">
        <f t="shared" si="2"/>
        <v>120878.125</v>
      </c>
      <c r="N21" s="62">
        <f t="shared" si="3"/>
        <v>119165.69447375363</v>
      </c>
      <c r="O21" s="63">
        <f t="shared" si="5"/>
        <v>-41707.99306581377</v>
      </c>
      <c r="P21" s="51">
        <f t="shared" si="6"/>
        <v>7621.192589729231</v>
      </c>
      <c r="Q21" s="52"/>
    </row>
    <row r="22" spans="1:17" ht="12.75">
      <c r="A22" s="39">
        <v>15</v>
      </c>
      <c r="B22" s="53"/>
      <c r="C22" s="47">
        <f>iWoTab!C33</f>
        <v>442018.93940737227</v>
      </c>
      <c r="D22" s="54">
        <f>iWoDarl!C26</f>
        <v>229163.68793655696</v>
      </c>
      <c r="E22" s="55">
        <f t="shared" si="8"/>
        <v>2192299.419964192</v>
      </c>
      <c r="F22" s="56">
        <f t="shared" si="7"/>
        <v>148709.81743285054</v>
      </c>
      <c r="G22" s="57">
        <f>iWoDarl!$C$8</f>
        <v>287023.79606145696</v>
      </c>
      <c r="H22" s="58">
        <f>iWoTab!L33</f>
        <v>55462.03308606918</v>
      </c>
      <c r="I22" s="51">
        <f t="shared" si="1"/>
        <v>99533.11025984614</v>
      </c>
      <c r="J22" s="47">
        <f t="shared" si="0"/>
        <v>99533.11025984614</v>
      </c>
      <c r="K22" s="59">
        <f t="shared" si="4"/>
        <v>2417562.5</v>
      </c>
      <c r="L22" s="60">
        <v>2.5</v>
      </c>
      <c r="M22" s="61">
        <f t="shared" si="2"/>
        <v>120878.125</v>
      </c>
      <c r="N22" s="62">
        <f t="shared" si="3"/>
        <v>185224.9108175967</v>
      </c>
      <c r="O22" s="63">
        <f t="shared" si="5"/>
        <v>-64828.718786158846</v>
      </c>
      <c r="P22" s="51">
        <f t="shared" si="6"/>
        <v>34704.3914736873</v>
      </c>
      <c r="Q22" s="52"/>
    </row>
    <row r="23" spans="1:17" ht="12.75">
      <c r="A23" s="39">
        <v>16</v>
      </c>
      <c r="B23" s="53"/>
      <c r="C23" s="47">
        <f>iWoTab!C34</f>
        <v>442018.93940737227</v>
      </c>
      <c r="D23" s="54">
        <f>iWoDarl!C27</f>
        <v>225692.08144906297</v>
      </c>
      <c r="E23" s="55">
        <f t="shared" si="8"/>
        <v>2440542.347656889</v>
      </c>
      <c r="F23" s="56">
        <f t="shared" si="7"/>
        <v>165548.83135585758</v>
      </c>
      <c r="G23" s="57">
        <f>iWoDarl!$C$8</f>
        <v>287023.79606145696</v>
      </c>
      <c r="H23" s="58">
        <f>iWoTab!L34</f>
        <v>58025.79458154849</v>
      </c>
      <c r="I23" s="51">
        <f t="shared" si="1"/>
        <v>96969.34876436682</v>
      </c>
      <c r="J23" s="47">
        <f t="shared" si="0"/>
        <v>96969.34876436682</v>
      </c>
      <c r="K23" s="59">
        <f t="shared" si="4"/>
        <v>2296684.375</v>
      </c>
      <c r="L23" s="60">
        <v>2.5</v>
      </c>
      <c r="M23" s="61">
        <f t="shared" si="2"/>
        <v>120878.125</v>
      </c>
      <c r="N23" s="62">
        <f t="shared" si="3"/>
        <v>202971.7697326184</v>
      </c>
      <c r="O23" s="63">
        <f t="shared" si="5"/>
        <v>-71040.11940641644</v>
      </c>
      <c r="P23" s="51">
        <f t="shared" si="6"/>
        <v>25929.229357950375</v>
      </c>
      <c r="Q23" s="52"/>
    </row>
    <row r="24" spans="1:17" ht="12.75">
      <c r="A24" s="39">
        <v>17</v>
      </c>
      <c r="B24" s="53"/>
      <c r="C24" s="47">
        <f>iWoTab!C35</f>
        <v>442018.93940737227</v>
      </c>
      <c r="D24" s="54">
        <f>iWoDarl!C28</f>
        <v>222012.1785723193</v>
      </c>
      <c r="E24" s="55">
        <f t="shared" si="8"/>
        <v>2703060.5277771135</v>
      </c>
      <c r="F24" s="56">
        <f t="shared" si="7"/>
        <v>183356.17568253737</v>
      </c>
      <c r="G24" s="57">
        <f>iWoDarl!$C$8</f>
        <v>287023.79606145696</v>
      </c>
      <c r="H24" s="58">
        <f>iWoTab!L35</f>
        <v>100821.40318766462</v>
      </c>
      <c r="I24" s="51">
        <f t="shared" si="1"/>
        <v>54173.74015825067</v>
      </c>
      <c r="J24" s="47">
        <f t="shared" si="0"/>
        <v>54173.74015825067</v>
      </c>
      <c r="K24" s="59">
        <f t="shared" si="4"/>
        <v>2175806.25</v>
      </c>
      <c r="L24" s="60">
        <v>2.5</v>
      </c>
      <c r="M24" s="61">
        <f t="shared" si="2"/>
        <v>120878.125</v>
      </c>
      <c r="N24" s="62">
        <f t="shared" si="3"/>
        <v>181663.40832992567</v>
      </c>
      <c r="O24" s="63">
        <f t="shared" si="5"/>
        <v>-63582.192915473985</v>
      </c>
      <c r="P24" s="51">
        <f t="shared" si="6"/>
        <v>-9408.452757223313</v>
      </c>
      <c r="Q24" s="52"/>
    </row>
    <row r="25" spans="1:17" ht="12.75">
      <c r="A25" s="39">
        <v>18</v>
      </c>
      <c r="B25" s="53"/>
      <c r="C25" s="47">
        <f>iWoTab!C36</f>
        <v>442018.93940737227</v>
      </c>
      <c r="D25" s="54">
        <f>iWoDarl!C29</f>
        <v>218111.48152297107</v>
      </c>
      <c r="E25" s="55">
        <f t="shared" si="8"/>
        <v>2940590.4436179013</v>
      </c>
      <c r="F25" s="56">
        <f t="shared" si="7"/>
        <v>199468.49596956317</v>
      </c>
      <c r="G25" s="57">
        <f>iWoDarl!$C$8</f>
        <v>287023.79606145696</v>
      </c>
      <c r="H25" s="58">
        <f>iWoTab!L36</f>
        <v>95872.4558941067</v>
      </c>
      <c r="I25" s="51">
        <f t="shared" si="1"/>
        <v>59122.6874518086</v>
      </c>
      <c r="J25" s="47">
        <f t="shared" si="0"/>
        <v>59122.6874518086</v>
      </c>
      <c r="K25" s="59">
        <f t="shared" si="4"/>
        <v>2054928.125</v>
      </c>
      <c r="L25" s="60">
        <v>2.5</v>
      </c>
      <c r="M25" s="61">
        <f t="shared" si="2"/>
        <v>120878.125</v>
      </c>
      <c r="N25" s="62">
        <f t="shared" si="3"/>
        <v>206625.37295985763</v>
      </c>
      <c r="O25" s="63">
        <f t="shared" si="5"/>
        <v>-72318.88053595017</v>
      </c>
      <c r="P25" s="51">
        <f t="shared" si="6"/>
        <v>-13196.193084141574</v>
      </c>
      <c r="Q25" s="52"/>
    </row>
    <row r="26" spans="1:17" ht="12.75">
      <c r="A26" s="39">
        <v>19</v>
      </c>
      <c r="B26" s="53"/>
      <c r="C26" s="47">
        <f>iWoTab!C37</f>
        <v>442018.93940737227</v>
      </c>
      <c r="D26" s="54">
        <f>iWoDarl!C30</f>
        <v>213976.7426506619</v>
      </c>
      <c r="E26" s="55">
        <f t="shared" si="8"/>
        <v>3199181.6270392733</v>
      </c>
      <c r="F26" s="56">
        <f t="shared" si="7"/>
        <v>217009.46109784162</v>
      </c>
      <c r="G26" s="57">
        <f>iWoDarl!$C$8</f>
        <v>287023.79606145696</v>
      </c>
      <c r="H26" s="58">
        <f>iWoTab!L37</f>
        <v>82205.0124353426</v>
      </c>
      <c r="I26" s="51">
        <f t="shared" si="1"/>
        <v>72790.13091057271</v>
      </c>
      <c r="J26" s="47">
        <f t="shared" si="0"/>
        <v>72790.13091057271</v>
      </c>
      <c r="K26" s="59">
        <f t="shared" si="4"/>
        <v>1934050</v>
      </c>
      <c r="L26" s="60">
        <v>1.25</v>
      </c>
      <c r="M26" s="61">
        <f t="shared" si="2"/>
        <v>60439.0625</v>
      </c>
      <c r="N26" s="62">
        <f t="shared" si="3"/>
        <v>302407.5829192094</v>
      </c>
      <c r="O26" s="63">
        <f t="shared" si="5"/>
        <v>-105842.65402172328</v>
      </c>
      <c r="P26" s="51">
        <f t="shared" si="6"/>
        <v>-33052.52311115057</v>
      </c>
      <c r="Q26" s="52"/>
    </row>
    <row r="27" spans="1:17" ht="12.75">
      <c r="A27" s="64">
        <v>20</v>
      </c>
      <c r="B27" s="65">
        <f>iWoTab!$B$38</f>
        <v>1866953.131997013</v>
      </c>
      <c r="C27" s="66">
        <f>iWoTab!C38</f>
        <v>442018.93940737227</v>
      </c>
      <c r="D27" s="67">
        <f>iWoDarl!C31</f>
        <v>209593.91944601422</v>
      </c>
      <c r="E27" s="68">
        <f t="shared" si="8"/>
        <v>3488981.2190476875</v>
      </c>
      <c r="F27" s="69">
        <f t="shared" si="7"/>
        <v>236667.38009705834</v>
      </c>
      <c r="G27" s="70">
        <f>iWoDarl!$C$8</f>
        <v>287023.79606145696</v>
      </c>
      <c r="H27" s="71">
        <f>iWoTab!L38</f>
        <v>70847.85358003803</v>
      </c>
      <c r="I27" s="72">
        <f t="shared" si="1"/>
        <v>84147.28976587724</v>
      </c>
      <c r="J27" s="66">
        <f t="shared" si="0"/>
        <v>1951100.4217628902</v>
      </c>
      <c r="K27" s="73">
        <f t="shared" si="4"/>
        <v>1873610.9375</v>
      </c>
      <c r="L27" s="74">
        <v>1.25</v>
      </c>
      <c r="M27" s="75">
        <f t="shared" si="2"/>
        <v>60439.0625</v>
      </c>
      <c r="N27" s="76">
        <f t="shared" si="3"/>
        <v>337805.48397837835</v>
      </c>
      <c r="O27" s="63">
        <f t="shared" si="5"/>
        <v>-118231.91939243242</v>
      </c>
      <c r="P27" s="51">
        <f t="shared" si="6"/>
        <v>1832868.5023704579</v>
      </c>
      <c r="Q27" s="77">
        <f>IRR(P7:P27)</f>
        <v>0.053311040388180596</v>
      </c>
    </row>
    <row r="28" spans="1:17" ht="12.75">
      <c r="A28" s="39">
        <v>21</v>
      </c>
      <c r="B28" s="52"/>
      <c r="C28" s="52"/>
      <c r="D28" s="52"/>
      <c r="E28" s="52"/>
      <c r="F28" s="52"/>
      <c r="G28" s="52"/>
      <c r="H28" s="52"/>
      <c r="I28" s="52"/>
      <c r="J28" s="78">
        <f>IRR(J7:J27)</f>
        <v>0.06783280425959311</v>
      </c>
      <c r="K28" s="52"/>
      <c r="L28" s="52"/>
      <c r="M28" s="52"/>
      <c r="N28" s="63">
        <f>$F$33*0.02</f>
        <v>68182.88617296948</v>
      </c>
      <c r="O28" s="63">
        <f>N28*$F$3</f>
        <v>23864.010160539314</v>
      </c>
      <c r="P28" s="63">
        <f>I28-O28</f>
        <v>-23864.010160539314</v>
      </c>
      <c r="Q28" s="52"/>
    </row>
    <row r="29" spans="1:17" ht="12.75">
      <c r="A29" s="39">
        <v>22</v>
      </c>
      <c r="B29" s="52"/>
      <c r="C29" s="52"/>
      <c r="D29" s="52"/>
      <c r="E29" s="52"/>
      <c r="F29" s="52"/>
      <c r="G29" s="52"/>
      <c r="H29" s="52"/>
      <c r="I29" s="63"/>
      <c r="J29" s="63"/>
      <c r="K29" s="52"/>
      <c r="L29" s="52"/>
      <c r="M29" s="52"/>
      <c r="N29" s="63">
        <f aca="true" t="shared" si="9" ref="N29:N77">$F$33*0.02</f>
        <v>68182.88617296948</v>
      </c>
      <c r="O29" s="63">
        <f aca="true" t="shared" si="10" ref="O29:O77">N29*$F$3</f>
        <v>23864.010160539314</v>
      </c>
      <c r="P29" s="63">
        <f>I29-O29</f>
        <v>-23864.010160539314</v>
      </c>
      <c r="Q29" s="52"/>
    </row>
    <row r="30" spans="1:17" ht="12.75">
      <c r="A30" s="39">
        <v>23</v>
      </c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63">
        <f t="shared" si="9"/>
        <v>68182.88617296948</v>
      </c>
      <c r="O30" s="63">
        <f t="shared" si="10"/>
        <v>23864.010160539314</v>
      </c>
      <c r="P30" s="63">
        <f>I30-O30</f>
        <v>-23864.010160539314</v>
      </c>
      <c r="Q30" s="52"/>
    </row>
    <row r="31" spans="1:17" ht="12.75">
      <c r="A31" s="39">
        <v>24</v>
      </c>
      <c r="B31" s="52"/>
      <c r="C31" s="52"/>
      <c r="D31" s="52" t="s">
        <v>100</v>
      </c>
      <c r="E31" s="52"/>
      <c r="F31" s="63">
        <f>iWoTab!$B$14</f>
        <v>5282755.246148474</v>
      </c>
      <c r="G31" s="52"/>
      <c r="H31" s="52"/>
      <c r="I31" s="52"/>
      <c r="J31" s="52"/>
      <c r="K31" s="52"/>
      <c r="L31" s="52"/>
      <c r="M31" s="52"/>
      <c r="N31" s="63">
        <f t="shared" si="9"/>
        <v>68182.88617296948</v>
      </c>
      <c r="O31" s="63">
        <f t="shared" si="10"/>
        <v>23864.010160539314</v>
      </c>
      <c r="P31" s="63">
        <f>I31-O31</f>
        <v>-23864.010160539314</v>
      </c>
      <c r="Q31" s="52"/>
    </row>
    <row r="32" spans="1:17" ht="12.75">
      <c r="A32" s="39">
        <v>25</v>
      </c>
      <c r="B32" s="52"/>
      <c r="C32" s="52"/>
      <c r="D32" s="52" t="s">
        <v>101</v>
      </c>
      <c r="E32" s="52"/>
      <c r="F32" s="63">
        <f>$K$27</f>
        <v>1873610.9375</v>
      </c>
      <c r="G32" s="52"/>
      <c r="H32" s="52"/>
      <c r="I32" s="52"/>
      <c r="J32" s="52"/>
      <c r="K32" s="52"/>
      <c r="L32" s="52"/>
      <c r="M32" s="52"/>
      <c r="N32" s="63">
        <f t="shared" si="9"/>
        <v>68182.88617296948</v>
      </c>
      <c r="O32" s="63">
        <f t="shared" si="10"/>
        <v>23864.010160539314</v>
      </c>
      <c r="P32" s="63">
        <f>I32-O32</f>
        <v>-23864.010160539314</v>
      </c>
      <c r="Q32" s="52"/>
    </row>
    <row r="33" spans="1:17" ht="12.75">
      <c r="A33" s="39">
        <v>26</v>
      </c>
      <c r="B33" s="52"/>
      <c r="C33" s="52"/>
      <c r="D33" s="79" t="s">
        <v>90</v>
      </c>
      <c r="E33" s="79"/>
      <c r="F33" s="80">
        <f>F31-F32</f>
        <v>3409144.3086484736</v>
      </c>
      <c r="G33" s="63"/>
      <c r="H33" s="52"/>
      <c r="I33" s="52"/>
      <c r="J33" s="52"/>
      <c r="K33" s="52"/>
      <c r="L33" s="52"/>
      <c r="M33" s="52"/>
      <c r="N33" s="63">
        <f t="shared" si="9"/>
        <v>68182.88617296948</v>
      </c>
      <c r="O33" s="63">
        <f t="shared" si="10"/>
        <v>23864.010160539314</v>
      </c>
      <c r="P33" s="63">
        <f>I33-O33</f>
        <v>-23864.010160539314</v>
      </c>
      <c r="Q33" s="52"/>
    </row>
    <row r="34" spans="1:17" ht="12.75">
      <c r="A34" s="39">
        <v>27</v>
      </c>
      <c r="B34" s="52"/>
      <c r="C34" s="52"/>
      <c r="D34" s="52"/>
      <c r="E34" s="52"/>
      <c r="F34" s="63"/>
      <c r="G34" s="63"/>
      <c r="H34" s="52"/>
      <c r="I34" s="52"/>
      <c r="J34" s="52"/>
      <c r="K34" s="52"/>
      <c r="L34" s="52"/>
      <c r="M34" s="52"/>
      <c r="N34" s="63">
        <f t="shared" si="9"/>
        <v>68182.88617296948</v>
      </c>
      <c r="O34" s="63">
        <f t="shared" si="10"/>
        <v>23864.010160539314</v>
      </c>
      <c r="P34" s="63">
        <f>I34-O34</f>
        <v>-23864.010160539314</v>
      </c>
      <c r="Q34" s="52"/>
    </row>
    <row r="35" spans="1:17" ht="12.75">
      <c r="A35" s="39">
        <v>28</v>
      </c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63">
        <f t="shared" si="9"/>
        <v>68182.88617296948</v>
      </c>
      <c r="O35" s="63">
        <f t="shared" si="10"/>
        <v>23864.010160539314</v>
      </c>
      <c r="P35" s="63">
        <f>I35-O35</f>
        <v>-23864.010160539314</v>
      </c>
      <c r="Q35" s="52"/>
    </row>
    <row r="36" spans="1:17" ht="12.75">
      <c r="A36" s="39">
        <v>29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63">
        <f t="shared" si="9"/>
        <v>68182.88617296948</v>
      </c>
      <c r="O36" s="63">
        <f t="shared" si="10"/>
        <v>23864.010160539314</v>
      </c>
      <c r="P36" s="63">
        <f>I36-O36</f>
        <v>-23864.010160539314</v>
      </c>
      <c r="Q36" s="52"/>
    </row>
    <row r="37" spans="1:17" ht="12.75">
      <c r="A37" s="39">
        <v>30</v>
      </c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63">
        <f t="shared" si="9"/>
        <v>68182.88617296948</v>
      </c>
      <c r="O37" s="63">
        <f t="shared" si="10"/>
        <v>23864.010160539314</v>
      </c>
      <c r="P37" s="63">
        <f>I37-O37</f>
        <v>-23864.010160539314</v>
      </c>
      <c r="Q37" s="52"/>
    </row>
    <row r="38" spans="1:17" ht="12.75">
      <c r="A38" s="39">
        <v>31</v>
      </c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63">
        <f t="shared" si="9"/>
        <v>68182.88617296948</v>
      </c>
      <c r="O38" s="63">
        <f t="shared" si="10"/>
        <v>23864.010160539314</v>
      </c>
      <c r="P38" s="63">
        <f>I38-O38</f>
        <v>-23864.010160539314</v>
      </c>
      <c r="Q38" s="52"/>
    </row>
    <row r="39" spans="1:17" ht="12.75">
      <c r="A39" s="39">
        <v>32</v>
      </c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63">
        <f t="shared" si="9"/>
        <v>68182.88617296948</v>
      </c>
      <c r="O39" s="63">
        <f t="shared" si="10"/>
        <v>23864.010160539314</v>
      </c>
      <c r="P39" s="63">
        <f>I39-O39</f>
        <v>-23864.010160539314</v>
      </c>
      <c r="Q39" s="52"/>
    </row>
    <row r="40" spans="1:17" ht="12.75">
      <c r="A40" s="39">
        <v>33</v>
      </c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63">
        <f t="shared" si="9"/>
        <v>68182.88617296948</v>
      </c>
      <c r="O40" s="63">
        <f t="shared" si="10"/>
        <v>23864.010160539314</v>
      </c>
      <c r="P40" s="63">
        <f>I40-O40</f>
        <v>-23864.010160539314</v>
      </c>
      <c r="Q40" s="52"/>
    </row>
    <row r="41" spans="1:17" ht="12.75">
      <c r="A41" s="39">
        <v>34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63">
        <f t="shared" si="9"/>
        <v>68182.88617296948</v>
      </c>
      <c r="O41" s="63">
        <f t="shared" si="10"/>
        <v>23864.010160539314</v>
      </c>
      <c r="P41" s="63">
        <f>I41-O41</f>
        <v>-23864.010160539314</v>
      </c>
      <c r="Q41" s="52"/>
    </row>
    <row r="42" spans="1:17" ht="12.75">
      <c r="A42" s="39">
        <v>35</v>
      </c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63">
        <f t="shared" si="9"/>
        <v>68182.88617296948</v>
      </c>
      <c r="O42" s="63">
        <f t="shared" si="10"/>
        <v>23864.010160539314</v>
      </c>
      <c r="P42" s="63">
        <f>I42-O42</f>
        <v>-23864.010160539314</v>
      </c>
      <c r="Q42" s="52"/>
    </row>
    <row r="43" spans="1:17" ht="12.75">
      <c r="A43" s="39">
        <v>36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63">
        <f t="shared" si="9"/>
        <v>68182.88617296948</v>
      </c>
      <c r="O43" s="63">
        <f t="shared" si="10"/>
        <v>23864.010160539314</v>
      </c>
      <c r="P43" s="63">
        <f>I43-O43</f>
        <v>-23864.010160539314</v>
      </c>
      <c r="Q43" s="52"/>
    </row>
    <row r="44" spans="1:17" ht="12.75">
      <c r="A44" s="39">
        <v>37</v>
      </c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63">
        <f t="shared" si="9"/>
        <v>68182.88617296948</v>
      </c>
      <c r="O44" s="63">
        <f t="shared" si="10"/>
        <v>23864.010160539314</v>
      </c>
      <c r="P44" s="63">
        <f>I44-O44</f>
        <v>-23864.010160539314</v>
      </c>
      <c r="Q44" s="52"/>
    </row>
    <row r="45" spans="1:17" ht="12.75">
      <c r="A45" s="39">
        <v>38</v>
      </c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63">
        <f t="shared" si="9"/>
        <v>68182.88617296948</v>
      </c>
      <c r="O45" s="63">
        <f t="shared" si="10"/>
        <v>23864.010160539314</v>
      </c>
      <c r="P45" s="63">
        <f>I45-O45</f>
        <v>-23864.010160539314</v>
      </c>
      <c r="Q45" s="52"/>
    </row>
    <row r="46" spans="1:17" ht="12.75">
      <c r="A46" s="39">
        <v>39</v>
      </c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63">
        <f t="shared" si="9"/>
        <v>68182.88617296948</v>
      </c>
      <c r="O46" s="63">
        <f t="shared" si="10"/>
        <v>23864.010160539314</v>
      </c>
      <c r="P46" s="63">
        <f>I46-O46</f>
        <v>-23864.010160539314</v>
      </c>
      <c r="Q46" s="52"/>
    </row>
    <row r="47" spans="1:17" ht="12.75">
      <c r="A47" s="39">
        <v>40</v>
      </c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63">
        <f t="shared" si="9"/>
        <v>68182.88617296948</v>
      </c>
      <c r="O47" s="63">
        <f t="shared" si="10"/>
        <v>23864.010160539314</v>
      </c>
      <c r="P47" s="63">
        <f>I47-O47</f>
        <v>-23864.010160539314</v>
      </c>
      <c r="Q47" s="52"/>
    </row>
    <row r="48" spans="1:17" ht="12.75">
      <c r="A48" s="39">
        <v>41</v>
      </c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63">
        <f t="shared" si="9"/>
        <v>68182.88617296948</v>
      </c>
      <c r="O48" s="63">
        <f t="shared" si="10"/>
        <v>23864.010160539314</v>
      </c>
      <c r="P48" s="63">
        <f>I48-O48</f>
        <v>-23864.010160539314</v>
      </c>
      <c r="Q48" s="52"/>
    </row>
    <row r="49" spans="1:17" ht="12.75">
      <c r="A49" s="39">
        <v>42</v>
      </c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63">
        <f t="shared" si="9"/>
        <v>68182.88617296948</v>
      </c>
      <c r="O49" s="63">
        <f t="shared" si="10"/>
        <v>23864.010160539314</v>
      </c>
      <c r="P49" s="63">
        <f>I49-O49</f>
        <v>-23864.010160539314</v>
      </c>
      <c r="Q49" s="52"/>
    </row>
    <row r="50" spans="1:17" ht="12.75">
      <c r="A50" s="39">
        <v>43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63">
        <f t="shared" si="9"/>
        <v>68182.88617296948</v>
      </c>
      <c r="O50" s="63">
        <f t="shared" si="10"/>
        <v>23864.010160539314</v>
      </c>
      <c r="P50" s="63">
        <f>I50-O50</f>
        <v>-23864.010160539314</v>
      </c>
      <c r="Q50" s="52"/>
    </row>
    <row r="51" spans="1:17" ht="12.75">
      <c r="A51" s="39">
        <v>44</v>
      </c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63">
        <f t="shared" si="9"/>
        <v>68182.88617296948</v>
      </c>
      <c r="O51" s="63">
        <f t="shared" si="10"/>
        <v>23864.010160539314</v>
      </c>
      <c r="P51" s="63">
        <f>I51-O51</f>
        <v>-23864.010160539314</v>
      </c>
      <c r="Q51" s="52"/>
    </row>
    <row r="52" spans="1:17" ht="12.75">
      <c r="A52" s="39">
        <v>45</v>
      </c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63">
        <f t="shared" si="9"/>
        <v>68182.88617296948</v>
      </c>
      <c r="O52" s="63">
        <f t="shared" si="10"/>
        <v>23864.010160539314</v>
      </c>
      <c r="P52" s="63">
        <f>I52-O52</f>
        <v>-23864.010160539314</v>
      </c>
      <c r="Q52" s="52"/>
    </row>
    <row r="53" spans="1:17" ht="12.75">
      <c r="A53" s="39">
        <v>46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63">
        <f t="shared" si="9"/>
        <v>68182.88617296948</v>
      </c>
      <c r="O53" s="63">
        <f t="shared" si="10"/>
        <v>23864.010160539314</v>
      </c>
      <c r="P53" s="63">
        <f>I53-O53</f>
        <v>-23864.010160539314</v>
      </c>
      <c r="Q53" s="52"/>
    </row>
    <row r="54" spans="1:17" ht="12.75">
      <c r="A54" s="39">
        <v>47</v>
      </c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63">
        <f t="shared" si="9"/>
        <v>68182.88617296948</v>
      </c>
      <c r="O54" s="63">
        <f t="shared" si="10"/>
        <v>23864.010160539314</v>
      </c>
      <c r="P54" s="63">
        <f>I54-O54</f>
        <v>-23864.010160539314</v>
      </c>
      <c r="Q54" s="52"/>
    </row>
    <row r="55" spans="1:17" ht="12.75">
      <c r="A55" s="39">
        <v>48</v>
      </c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63">
        <f t="shared" si="9"/>
        <v>68182.88617296948</v>
      </c>
      <c r="O55" s="63">
        <f t="shared" si="10"/>
        <v>23864.010160539314</v>
      </c>
      <c r="P55" s="63">
        <f>I55-O55</f>
        <v>-23864.010160539314</v>
      </c>
      <c r="Q55" s="52"/>
    </row>
    <row r="56" spans="1:17" ht="12.75">
      <c r="A56" s="39">
        <v>49</v>
      </c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63">
        <f t="shared" si="9"/>
        <v>68182.88617296948</v>
      </c>
      <c r="O56" s="63">
        <f t="shared" si="10"/>
        <v>23864.010160539314</v>
      </c>
      <c r="P56" s="63">
        <f>I56-O56</f>
        <v>-23864.010160539314</v>
      </c>
      <c r="Q56" s="52"/>
    </row>
    <row r="57" spans="1:17" ht="12.75">
      <c r="A57" s="39">
        <v>50</v>
      </c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63">
        <f t="shared" si="9"/>
        <v>68182.88617296948</v>
      </c>
      <c r="O57" s="63">
        <f t="shared" si="10"/>
        <v>23864.010160539314</v>
      </c>
      <c r="P57" s="63">
        <f>I57-O57</f>
        <v>-23864.010160539314</v>
      </c>
      <c r="Q57" s="52"/>
    </row>
    <row r="58" spans="1:17" ht="12.75">
      <c r="A58" s="39">
        <v>51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63">
        <f t="shared" si="9"/>
        <v>68182.88617296948</v>
      </c>
      <c r="O58" s="63">
        <f t="shared" si="10"/>
        <v>23864.010160539314</v>
      </c>
      <c r="P58" s="63">
        <f>I58-O58</f>
        <v>-23864.010160539314</v>
      </c>
      <c r="Q58" s="52"/>
    </row>
    <row r="59" spans="1:17" ht="12.75">
      <c r="A59" s="39">
        <v>52</v>
      </c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63">
        <f t="shared" si="9"/>
        <v>68182.88617296948</v>
      </c>
      <c r="O59" s="63">
        <f t="shared" si="10"/>
        <v>23864.010160539314</v>
      </c>
      <c r="P59" s="63">
        <f>I59-O59</f>
        <v>-23864.010160539314</v>
      </c>
      <c r="Q59" s="52"/>
    </row>
    <row r="60" spans="1:17" ht="12.75">
      <c r="A60" s="39">
        <v>53</v>
      </c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63">
        <f t="shared" si="9"/>
        <v>68182.88617296948</v>
      </c>
      <c r="O60" s="63">
        <f t="shared" si="10"/>
        <v>23864.010160539314</v>
      </c>
      <c r="P60" s="63">
        <f>I60-O60</f>
        <v>-23864.010160539314</v>
      </c>
      <c r="Q60" s="52"/>
    </row>
    <row r="61" spans="1:17" ht="12.75">
      <c r="A61" s="39">
        <v>54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63">
        <f t="shared" si="9"/>
        <v>68182.88617296948</v>
      </c>
      <c r="O61" s="63">
        <f t="shared" si="10"/>
        <v>23864.010160539314</v>
      </c>
      <c r="P61" s="63">
        <f>I61-O61</f>
        <v>-23864.010160539314</v>
      </c>
      <c r="Q61" s="52"/>
    </row>
    <row r="62" spans="1:17" ht="12.75">
      <c r="A62" s="39">
        <v>55</v>
      </c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63">
        <f t="shared" si="9"/>
        <v>68182.88617296948</v>
      </c>
      <c r="O62" s="63">
        <f t="shared" si="10"/>
        <v>23864.010160539314</v>
      </c>
      <c r="P62" s="63">
        <f>I62-O62</f>
        <v>-23864.010160539314</v>
      </c>
      <c r="Q62" s="52"/>
    </row>
    <row r="63" spans="1:17" ht="12.75">
      <c r="A63" s="39">
        <v>56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63">
        <f t="shared" si="9"/>
        <v>68182.88617296948</v>
      </c>
      <c r="O63" s="63">
        <f t="shared" si="10"/>
        <v>23864.010160539314</v>
      </c>
      <c r="P63" s="63">
        <f>I63-O63</f>
        <v>-23864.010160539314</v>
      </c>
      <c r="Q63" s="52"/>
    </row>
    <row r="64" spans="1:17" ht="12.75">
      <c r="A64" s="39">
        <v>57</v>
      </c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63">
        <f t="shared" si="9"/>
        <v>68182.88617296948</v>
      </c>
      <c r="O64" s="63">
        <f t="shared" si="10"/>
        <v>23864.010160539314</v>
      </c>
      <c r="P64" s="63">
        <f>I64-O64</f>
        <v>-23864.010160539314</v>
      </c>
      <c r="Q64" s="52"/>
    </row>
    <row r="65" spans="1:17" ht="12.75">
      <c r="A65" s="39">
        <v>58</v>
      </c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63">
        <f t="shared" si="9"/>
        <v>68182.88617296948</v>
      </c>
      <c r="O65" s="63">
        <f t="shared" si="10"/>
        <v>23864.010160539314</v>
      </c>
      <c r="P65" s="63">
        <f>I65-O65</f>
        <v>-23864.010160539314</v>
      </c>
      <c r="Q65" s="52"/>
    </row>
    <row r="66" spans="1:17" ht="12.75">
      <c r="A66" s="39">
        <v>59</v>
      </c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63">
        <f t="shared" si="9"/>
        <v>68182.88617296948</v>
      </c>
      <c r="O66" s="63">
        <f t="shared" si="10"/>
        <v>23864.010160539314</v>
      </c>
      <c r="P66" s="63">
        <f>I66-O66</f>
        <v>-23864.010160539314</v>
      </c>
      <c r="Q66" s="52"/>
    </row>
    <row r="67" spans="1:17" ht="12.75">
      <c r="A67" s="39">
        <v>60</v>
      </c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63">
        <f t="shared" si="9"/>
        <v>68182.88617296948</v>
      </c>
      <c r="O67" s="63">
        <f t="shared" si="10"/>
        <v>23864.010160539314</v>
      </c>
      <c r="P67" s="63">
        <f>I67-O67</f>
        <v>-23864.010160539314</v>
      </c>
      <c r="Q67" s="52"/>
    </row>
    <row r="68" spans="1:17" ht="12.75">
      <c r="A68" s="39">
        <v>61</v>
      </c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63">
        <f t="shared" si="9"/>
        <v>68182.88617296948</v>
      </c>
      <c r="O68" s="63">
        <f t="shared" si="10"/>
        <v>23864.010160539314</v>
      </c>
      <c r="P68" s="63">
        <f>I68-O68</f>
        <v>-23864.010160539314</v>
      </c>
      <c r="Q68" s="52"/>
    </row>
    <row r="69" spans="1:17" ht="12.75">
      <c r="A69" s="39">
        <v>62</v>
      </c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63">
        <f t="shared" si="9"/>
        <v>68182.88617296948</v>
      </c>
      <c r="O69" s="63">
        <f t="shared" si="10"/>
        <v>23864.010160539314</v>
      </c>
      <c r="P69" s="63">
        <f>I69-O69</f>
        <v>-23864.010160539314</v>
      </c>
      <c r="Q69" s="52"/>
    </row>
    <row r="70" spans="1:17" ht="12.75">
      <c r="A70" s="39">
        <v>63</v>
      </c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63">
        <f t="shared" si="9"/>
        <v>68182.88617296948</v>
      </c>
      <c r="O70" s="63">
        <f t="shared" si="10"/>
        <v>23864.010160539314</v>
      </c>
      <c r="P70" s="63">
        <f>I70-O70</f>
        <v>-23864.010160539314</v>
      </c>
      <c r="Q70" s="52"/>
    </row>
    <row r="71" spans="1:17" ht="12.75">
      <c r="A71" s="39">
        <v>64</v>
      </c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63">
        <f t="shared" si="9"/>
        <v>68182.88617296948</v>
      </c>
      <c r="O71" s="63">
        <f t="shared" si="10"/>
        <v>23864.010160539314</v>
      </c>
      <c r="P71" s="63">
        <f>I71-O71</f>
        <v>-23864.010160539314</v>
      </c>
      <c r="Q71" s="52"/>
    </row>
    <row r="72" spans="1:17" ht="12.75">
      <c r="A72" s="39">
        <v>65</v>
      </c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63">
        <f t="shared" si="9"/>
        <v>68182.88617296948</v>
      </c>
      <c r="O72" s="63">
        <f t="shared" si="10"/>
        <v>23864.010160539314</v>
      </c>
      <c r="P72" s="63">
        <f>I72-O72</f>
        <v>-23864.010160539314</v>
      </c>
      <c r="Q72" s="52"/>
    </row>
    <row r="73" spans="1:17" ht="12.75">
      <c r="A73" s="39">
        <v>66</v>
      </c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63">
        <f t="shared" si="9"/>
        <v>68182.88617296948</v>
      </c>
      <c r="O73" s="63">
        <f t="shared" si="10"/>
        <v>23864.010160539314</v>
      </c>
      <c r="P73" s="63">
        <f>I73-O73</f>
        <v>-23864.010160539314</v>
      </c>
      <c r="Q73" s="52"/>
    </row>
    <row r="74" spans="1:17" ht="12.75">
      <c r="A74" s="39">
        <v>67</v>
      </c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63">
        <f t="shared" si="9"/>
        <v>68182.88617296948</v>
      </c>
      <c r="O74" s="63">
        <f t="shared" si="10"/>
        <v>23864.010160539314</v>
      </c>
      <c r="P74" s="63">
        <f>I74-O74</f>
        <v>-23864.010160539314</v>
      </c>
      <c r="Q74" s="52"/>
    </row>
    <row r="75" spans="1:17" ht="12.75">
      <c r="A75" s="39">
        <v>68</v>
      </c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63">
        <f t="shared" si="9"/>
        <v>68182.88617296948</v>
      </c>
      <c r="O75" s="63">
        <f t="shared" si="10"/>
        <v>23864.010160539314</v>
      </c>
      <c r="P75" s="63">
        <f>I75-O75</f>
        <v>-23864.010160539314</v>
      </c>
      <c r="Q75" s="52"/>
    </row>
    <row r="76" spans="1:17" ht="12.75">
      <c r="A76" s="39">
        <v>69</v>
      </c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63">
        <f t="shared" si="9"/>
        <v>68182.88617296948</v>
      </c>
      <c r="O76" s="63">
        <f t="shared" si="10"/>
        <v>23864.010160539314</v>
      </c>
      <c r="P76" s="63">
        <f>I76-O76</f>
        <v>-23864.010160539314</v>
      </c>
      <c r="Q76" s="52"/>
    </row>
    <row r="77" spans="1:17" ht="12.75">
      <c r="A77" s="39">
        <v>70</v>
      </c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63">
        <f t="shared" si="9"/>
        <v>68182.88617296948</v>
      </c>
      <c r="O77" s="63">
        <f t="shared" si="10"/>
        <v>23864.010160539314</v>
      </c>
      <c r="P77" s="63">
        <f>I77-O77</f>
        <v>-23864.010160539314</v>
      </c>
      <c r="Q77" s="78">
        <f>IRR(P7:P77)</f>
        <v>0.04154122338923165</v>
      </c>
    </row>
    <row r="78" spans="14:17" ht="12.75">
      <c r="N78" s="1"/>
      <c r="P78" s="17"/>
      <c r="Q78" s="17"/>
    </row>
    <row r="79" ht="12.75">
      <c r="N79" s="1"/>
    </row>
    <row r="80" ht="12.75">
      <c r="N80" s="1"/>
    </row>
    <row r="81" ht="12.75">
      <c r="N81" s="1"/>
    </row>
    <row r="82" ht="12.75">
      <c r="N82" s="1"/>
    </row>
    <row r="83" ht="12.75">
      <c r="N83" s="1"/>
    </row>
    <row r="84" ht="12.75">
      <c r="N84" s="1"/>
    </row>
    <row r="85" ht="12.75">
      <c r="N85" s="1"/>
    </row>
    <row r="86" ht="12.75">
      <c r="N86" s="1"/>
    </row>
    <row r="87" ht="12.75">
      <c r="N87" s="1"/>
    </row>
    <row r="88" ht="12.75">
      <c r="N88" s="1"/>
    </row>
    <row r="89" ht="12.75">
      <c r="N89" s="1"/>
    </row>
    <row r="90" ht="12.75">
      <c r="N90" s="1"/>
    </row>
    <row r="91" ht="12.75">
      <c r="N91" s="1"/>
    </row>
    <row r="92" ht="12.75">
      <c r="N92" s="1"/>
    </row>
    <row r="93" ht="12.75">
      <c r="N93" s="1"/>
    </row>
    <row r="94" ht="12.75">
      <c r="N94" s="1"/>
    </row>
    <row r="95" ht="12.75">
      <c r="N95" s="1"/>
    </row>
    <row r="96" ht="12.75">
      <c r="N96" s="1"/>
    </row>
    <row r="97" ht="12.75">
      <c r="N97" s="1"/>
    </row>
    <row r="98" ht="12.75">
      <c r="N98" s="1"/>
    </row>
    <row r="99" ht="12.75">
      <c r="N99" s="1"/>
    </row>
    <row r="100" ht="12.75">
      <c r="N100" s="1"/>
    </row>
    <row r="101" ht="12.75">
      <c r="N101" s="1"/>
    </row>
    <row r="102" ht="12.75">
      <c r="N102" s="1"/>
    </row>
    <row r="103" ht="12.75">
      <c r="N103" s="1"/>
    </row>
    <row r="104" ht="12.75">
      <c r="N104" s="1"/>
    </row>
    <row r="105" ht="12.75">
      <c r="N105" s="1"/>
    </row>
    <row r="106" ht="12.75">
      <c r="N106" s="1"/>
    </row>
    <row r="107" ht="12.75">
      <c r="N107" s="1"/>
    </row>
    <row r="108" ht="12.75">
      <c r="N108" s="1"/>
    </row>
    <row r="109" ht="12.75">
      <c r="N109" s="1"/>
    </row>
    <row r="110" ht="12.75">
      <c r="N110" s="1"/>
    </row>
    <row r="111" ht="12.75">
      <c r="N111" s="1"/>
    </row>
    <row r="112" ht="12.75">
      <c r="N112" s="1"/>
    </row>
    <row r="113" ht="12.75">
      <c r="N113" s="1"/>
    </row>
    <row r="114" ht="12.75">
      <c r="N114" s="1"/>
    </row>
    <row r="115" ht="12.75">
      <c r="N115" s="1"/>
    </row>
    <row r="116" ht="12.75">
      <c r="N116" s="1"/>
    </row>
    <row r="117" ht="12.75">
      <c r="N117" s="1"/>
    </row>
    <row r="118" ht="12.75">
      <c r="N118" s="1"/>
    </row>
    <row r="119" ht="12.75">
      <c r="N119" s="1"/>
    </row>
    <row r="120" ht="12.75">
      <c r="N120" s="1"/>
    </row>
    <row r="121" ht="12.75">
      <c r="N121" s="1"/>
    </row>
    <row r="122" ht="12.75">
      <c r="N122" s="1"/>
    </row>
    <row r="123" ht="12.75">
      <c r="N123" s="1"/>
    </row>
    <row r="124" ht="12.75">
      <c r="N124" s="1"/>
    </row>
    <row r="125" ht="12.75">
      <c r="N125" s="1"/>
    </row>
    <row r="126" ht="12.75">
      <c r="N126" s="1"/>
    </row>
    <row r="127" ht="12.75">
      <c r="N127" s="1"/>
    </row>
    <row r="128" ht="12.75">
      <c r="N128" s="1"/>
    </row>
    <row r="129" ht="12.75">
      <c r="N129" s="1"/>
    </row>
    <row r="130" ht="12.75">
      <c r="N130" s="1"/>
    </row>
    <row r="131" ht="12.75">
      <c r="N131" s="1"/>
    </row>
    <row r="132" ht="12.75">
      <c r="N132" s="1"/>
    </row>
    <row r="133" ht="12.75">
      <c r="N133" s="1"/>
    </row>
    <row r="134" ht="12.75">
      <c r="N134" s="1"/>
    </row>
    <row r="135" ht="12.75">
      <c r="N135" s="1"/>
    </row>
    <row r="136" ht="12.75">
      <c r="N136" s="1"/>
    </row>
    <row r="137" ht="12.75">
      <c r="N137" s="1"/>
    </row>
    <row r="138" ht="12.75">
      <c r="N138" s="1"/>
    </row>
    <row r="139" ht="12.75">
      <c r="N139" s="1"/>
    </row>
    <row r="140" ht="12.75">
      <c r="N140" s="1"/>
    </row>
    <row r="141" ht="12.75">
      <c r="N141" s="1"/>
    </row>
    <row r="142" ht="12.75">
      <c r="N142" s="1"/>
    </row>
    <row r="143" ht="12.75">
      <c r="N143" s="1"/>
    </row>
    <row r="144" ht="12.75">
      <c r="N144" s="1"/>
    </row>
    <row r="145" ht="12.75">
      <c r="N145" s="1"/>
    </row>
    <row r="146" ht="12.75">
      <c r="N146" s="1"/>
    </row>
    <row r="147" ht="12.75">
      <c r="N147" s="1"/>
    </row>
    <row r="148" ht="12.75">
      <c r="N148" s="1"/>
    </row>
    <row r="149" ht="12.75">
      <c r="N149" s="1"/>
    </row>
    <row r="150" ht="12.75">
      <c r="N150" s="1"/>
    </row>
    <row r="151" ht="12.75">
      <c r="N151" s="1"/>
    </row>
    <row r="152" ht="12.75">
      <c r="N152" s="1"/>
    </row>
    <row r="153" ht="12.75">
      <c r="N153" s="1"/>
    </row>
    <row r="154" ht="12.75">
      <c r="N154" s="1"/>
    </row>
    <row r="155" ht="12.75">
      <c r="N155" s="1"/>
    </row>
    <row r="156" ht="12.75">
      <c r="N156" s="1"/>
    </row>
    <row r="157" ht="12.75">
      <c r="N157" s="1"/>
    </row>
    <row r="158" ht="12.75">
      <c r="N158" s="1"/>
    </row>
    <row r="159" ht="12.75">
      <c r="N159" s="1"/>
    </row>
    <row r="160" ht="12.75">
      <c r="N160" s="1"/>
    </row>
    <row r="161" ht="12.75">
      <c r="N161" s="1"/>
    </row>
    <row r="162" ht="12.75">
      <c r="N162" s="1"/>
    </row>
    <row r="163" ht="12.75">
      <c r="N163" s="1"/>
    </row>
    <row r="164" ht="12.75">
      <c r="N164" s="1"/>
    </row>
    <row r="165" ht="12.75">
      <c r="N165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D32"/>
  <sheetViews>
    <sheetView zoomScale="120" zoomScaleNormal="120" workbookViewId="0" topLeftCell="A1">
      <selection activeCell="B32" sqref="B32"/>
    </sheetView>
  </sheetViews>
  <sheetFormatPr defaultColWidth="11.421875" defaultRowHeight="12.75"/>
  <cols>
    <col min="1" max="1" width="3.00390625" style="0" customWidth="1"/>
    <col min="2" max="2" width="13.00390625" style="0" customWidth="1"/>
    <col min="3" max="4" width="9.57421875" style="0" customWidth="1"/>
  </cols>
  <sheetData>
    <row r="2" ht="12.75">
      <c r="B2" s="5" t="s">
        <v>26</v>
      </c>
    </row>
    <row r="3" spans="2:3" ht="12.75">
      <c r="B3" t="s">
        <v>33</v>
      </c>
      <c r="C3" s="1">
        <f>iWoDat!$D$13</f>
        <v>4583062.5</v>
      </c>
    </row>
    <row r="4" spans="2:3" ht="15.75">
      <c r="B4" t="s">
        <v>65</v>
      </c>
      <c r="C4" s="6">
        <v>4.5</v>
      </c>
    </row>
    <row r="5" spans="2:3" ht="15.75">
      <c r="B5" t="s">
        <v>66</v>
      </c>
      <c r="C5" s="6">
        <v>6</v>
      </c>
    </row>
    <row r="6" spans="2:3" ht="12.75">
      <c r="B6" t="s">
        <v>67</v>
      </c>
      <c r="C6" s="20">
        <v>1</v>
      </c>
    </row>
    <row r="7" spans="2:3" ht="15.75">
      <c r="B7" t="s">
        <v>71</v>
      </c>
      <c r="C7" s="1">
        <f>C12+D12</f>
        <v>252068.4375</v>
      </c>
    </row>
    <row r="8" spans="2:3" ht="15.75">
      <c r="B8" t="s">
        <v>72</v>
      </c>
      <c r="C8" s="1">
        <f>C22+D22</f>
        <v>287023.79606145696</v>
      </c>
    </row>
    <row r="9" ht="12.75">
      <c r="C9" s="7"/>
    </row>
    <row r="11" spans="1:4" ht="12.75">
      <c r="A11" s="12" t="s">
        <v>43</v>
      </c>
      <c r="B11" s="12" t="s">
        <v>70</v>
      </c>
      <c r="C11" s="12" t="s">
        <v>68</v>
      </c>
      <c r="D11" s="12" t="s">
        <v>69</v>
      </c>
    </row>
    <row r="12" spans="1:4" ht="12.75">
      <c r="A12" s="3">
        <v>1</v>
      </c>
      <c r="B12" s="1">
        <f>$C$3</f>
        <v>4583062.5</v>
      </c>
      <c r="C12" s="1">
        <f>$C$4*B12/100</f>
        <v>206237.8125</v>
      </c>
      <c r="D12" s="1">
        <f>C6*B12/100</f>
        <v>45830.625</v>
      </c>
    </row>
    <row r="13" spans="1:4" ht="12.75">
      <c r="A13" s="3">
        <v>2</v>
      </c>
      <c r="B13" s="1">
        <f>B12-D12</f>
        <v>4537231.875</v>
      </c>
      <c r="C13" s="1">
        <f>$C$4*B13/100</f>
        <v>204175.434375</v>
      </c>
      <c r="D13" s="1">
        <f aca="true" t="shared" si="0" ref="D13:D21">$C$7-C13</f>
        <v>47893.00312499999</v>
      </c>
    </row>
    <row r="14" spans="1:4" ht="12.75">
      <c r="A14" s="3">
        <v>3</v>
      </c>
      <c r="B14" s="1">
        <f>B13-D13</f>
        <v>4489338.871875</v>
      </c>
      <c r="C14" s="1">
        <f>$C$4*B14/100</f>
        <v>202020.24923437502</v>
      </c>
      <c r="D14" s="1">
        <f t="shared" si="0"/>
        <v>50048.18826562498</v>
      </c>
    </row>
    <row r="15" spans="1:4" ht="12.75">
      <c r="A15" s="3">
        <v>4</v>
      </c>
      <c r="B15" s="1">
        <f aca="true" t="shared" si="1" ref="B15:B32">B14-D14</f>
        <v>4439290.683609375</v>
      </c>
      <c r="C15" s="1">
        <f aca="true" t="shared" si="2" ref="C15:C21">$C$4*B15/100</f>
        <v>199768.08076242186</v>
      </c>
      <c r="D15" s="1">
        <f t="shared" si="0"/>
        <v>52300.35673757814</v>
      </c>
    </row>
    <row r="16" spans="1:4" ht="12.75">
      <c r="A16" s="3">
        <v>5</v>
      </c>
      <c r="B16" s="1">
        <f t="shared" si="1"/>
        <v>4386990.3268717965</v>
      </c>
      <c r="C16" s="1">
        <f t="shared" si="2"/>
        <v>197414.56470923085</v>
      </c>
      <c r="D16" s="1">
        <f t="shared" si="0"/>
        <v>54653.87279076915</v>
      </c>
    </row>
    <row r="17" spans="1:4" ht="12.75">
      <c r="A17" s="3">
        <v>6</v>
      </c>
      <c r="B17" s="1">
        <f t="shared" si="1"/>
        <v>4332336.454081028</v>
      </c>
      <c r="C17" s="1">
        <f t="shared" si="2"/>
        <v>194955.14043364624</v>
      </c>
      <c r="D17" s="1">
        <f t="shared" si="0"/>
        <v>57113.297066353756</v>
      </c>
    </row>
    <row r="18" spans="1:4" ht="12.75">
      <c r="A18" s="3">
        <v>7</v>
      </c>
      <c r="B18" s="1">
        <f t="shared" si="1"/>
        <v>4275223.157014674</v>
      </c>
      <c r="C18" s="1">
        <f t="shared" si="2"/>
        <v>192385.04206566032</v>
      </c>
      <c r="D18" s="1">
        <f t="shared" si="0"/>
        <v>59683.395434339676</v>
      </c>
    </row>
    <row r="19" spans="1:4" ht="12.75">
      <c r="A19" s="3">
        <v>8</v>
      </c>
      <c r="B19" s="1">
        <f t="shared" si="1"/>
        <v>4215539.761580334</v>
      </c>
      <c r="C19" s="1">
        <f t="shared" si="2"/>
        <v>189699.28927111503</v>
      </c>
      <c r="D19" s="1">
        <f t="shared" si="0"/>
        <v>62369.148228884966</v>
      </c>
    </row>
    <row r="20" spans="1:4" ht="12.75">
      <c r="A20" s="3">
        <v>9</v>
      </c>
      <c r="B20" s="1">
        <f t="shared" si="1"/>
        <v>4153170.613351449</v>
      </c>
      <c r="C20" s="1">
        <f t="shared" si="2"/>
        <v>186892.6776008152</v>
      </c>
      <c r="D20" s="1">
        <f t="shared" si="0"/>
        <v>65175.759899184806</v>
      </c>
    </row>
    <row r="21" spans="1:4" ht="12.75">
      <c r="A21" s="18">
        <v>10</v>
      </c>
      <c r="B21" s="19">
        <f t="shared" si="1"/>
        <v>4087994.8534522643</v>
      </c>
      <c r="C21" s="19">
        <f t="shared" si="2"/>
        <v>183959.7684053519</v>
      </c>
      <c r="D21" s="19">
        <f t="shared" si="0"/>
        <v>68108.6690946481</v>
      </c>
    </row>
    <row r="22" spans="1:4" ht="12.75">
      <c r="A22" s="3">
        <v>11</v>
      </c>
      <c r="B22" s="1">
        <f t="shared" si="1"/>
        <v>4019886.184357616</v>
      </c>
      <c r="C22" s="1">
        <f>$C$5*B22/100</f>
        <v>241193.17106145696</v>
      </c>
      <c r="D22" s="1">
        <f>C6*B12/100</f>
        <v>45830.625</v>
      </c>
    </row>
    <row r="23" spans="1:4" ht="12.75">
      <c r="A23" s="3">
        <v>12</v>
      </c>
      <c r="B23" s="1">
        <f t="shared" si="1"/>
        <v>3974055.559357616</v>
      </c>
      <c r="C23" s="1">
        <f aca="true" t="shared" si="3" ref="C23:C31">$C$5*B23/100</f>
        <v>238443.33356145694</v>
      </c>
      <c r="D23" s="1">
        <f aca="true" t="shared" si="4" ref="D23:D31">$C$8-C23</f>
        <v>48580.46250000002</v>
      </c>
    </row>
    <row r="24" spans="1:4" ht="12.75">
      <c r="A24" s="3">
        <v>13</v>
      </c>
      <c r="B24" s="1">
        <f t="shared" si="1"/>
        <v>3925475.096857616</v>
      </c>
      <c r="C24" s="1">
        <f t="shared" si="3"/>
        <v>235528.50581145697</v>
      </c>
      <c r="D24" s="1">
        <f t="shared" si="4"/>
        <v>51495.29024999999</v>
      </c>
    </row>
    <row r="25" spans="1:4" ht="12.75">
      <c r="A25" s="3">
        <v>14</v>
      </c>
      <c r="B25" s="1">
        <f t="shared" si="1"/>
        <v>3873979.806607616</v>
      </c>
      <c r="C25" s="1">
        <f t="shared" si="3"/>
        <v>232438.78839645698</v>
      </c>
      <c r="D25" s="1">
        <f t="shared" si="4"/>
        <v>54585.00766499998</v>
      </c>
    </row>
    <row r="26" spans="1:4" ht="12.75">
      <c r="A26" s="3">
        <v>15</v>
      </c>
      <c r="B26" s="1">
        <f t="shared" si="1"/>
        <v>3819394.798942616</v>
      </c>
      <c r="C26" s="1">
        <f t="shared" si="3"/>
        <v>229163.68793655696</v>
      </c>
      <c r="D26" s="1">
        <f t="shared" si="4"/>
        <v>57860.1081249</v>
      </c>
    </row>
    <row r="27" spans="1:4" ht="12.75">
      <c r="A27" s="3">
        <v>16</v>
      </c>
      <c r="B27" s="1">
        <f t="shared" si="1"/>
        <v>3761534.690817716</v>
      </c>
      <c r="C27" s="1">
        <f t="shared" si="3"/>
        <v>225692.08144906297</v>
      </c>
      <c r="D27" s="1">
        <f t="shared" si="4"/>
        <v>61331.71461239399</v>
      </c>
    </row>
    <row r="28" spans="1:4" ht="12.75">
      <c r="A28" s="3">
        <v>17</v>
      </c>
      <c r="B28" s="1">
        <f t="shared" si="1"/>
        <v>3700202.976205322</v>
      </c>
      <c r="C28" s="1">
        <f t="shared" si="3"/>
        <v>222012.1785723193</v>
      </c>
      <c r="D28" s="1">
        <f t="shared" si="4"/>
        <v>65011.61748913766</v>
      </c>
    </row>
    <row r="29" spans="1:4" ht="12.75">
      <c r="A29" s="3">
        <v>18</v>
      </c>
      <c r="B29" s="1">
        <f t="shared" si="1"/>
        <v>3635191.3587161843</v>
      </c>
      <c r="C29" s="1">
        <f t="shared" si="3"/>
        <v>218111.48152297107</v>
      </c>
      <c r="D29" s="1">
        <f t="shared" si="4"/>
        <v>68912.3145384859</v>
      </c>
    </row>
    <row r="30" spans="1:4" ht="12.75">
      <c r="A30" s="3">
        <v>19</v>
      </c>
      <c r="B30" s="1">
        <f t="shared" si="1"/>
        <v>3566279.0441776984</v>
      </c>
      <c r="C30" s="1">
        <f t="shared" si="3"/>
        <v>213976.7426506619</v>
      </c>
      <c r="D30" s="1">
        <f t="shared" si="4"/>
        <v>73047.05341079505</v>
      </c>
    </row>
    <row r="31" spans="1:4" ht="12.75">
      <c r="A31" s="3">
        <v>20</v>
      </c>
      <c r="B31" s="7">
        <f t="shared" si="1"/>
        <v>3493231.9907669034</v>
      </c>
      <c r="C31" s="1">
        <f t="shared" si="3"/>
        <v>209593.91944601422</v>
      </c>
      <c r="D31" s="1">
        <f t="shared" si="4"/>
        <v>77429.87661544274</v>
      </c>
    </row>
    <row r="32" spans="2:4" ht="12.75">
      <c r="B32" s="2">
        <f t="shared" si="1"/>
        <v>3415802.1141514606</v>
      </c>
      <c r="C32" s="1"/>
      <c r="D32" s="1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fffff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Fallstudie 3</dc:title>
  <dc:subject/>
  <dc:creator>Stefan Kofner</dc:creator>
  <cp:keywords/>
  <dc:description/>
  <cp:lastModifiedBy>Prof. Dr. Stefan Kofner</cp:lastModifiedBy>
  <cp:lastPrinted>2005-07-12T14:51:30Z</cp:lastPrinted>
  <dcterms:created xsi:type="dcterms:W3CDTF">2005-06-26T08:01:37Z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