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D:\arbeiver\Dienst ZI\Lehre\Eigene Lehraufträge\Architekten Sachsen\Neue Tabellen\"/>
    </mc:Choice>
  </mc:AlternateContent>
  <bookViews>
    <workbookView xWindow="120" yWindow="192" windowWidth="15180" windowHeight="6312" tabRatio="660" activeTab="6"/>
  </bookViews>
  <sheets>
    <sheet name="iWoHK" sheetId="14" r:id="rId1"/>
    <sheet name="iWoKo" sheetId="15" r:id="rId2"/>
    <sheet name="iWoDat" sheetId="17" r:id="rId3"/>
    <sheet name="iWoTab GK" sheetId="29" r:id="rId4"/>
    <sheet name="iWoTab EKneu" sheetId="31" r:id="rId5"/>
    <sheet name="iWoGuV" sheetId="23" r:id="rId6"/>
    <sheet name="iWoTab EKSt" sheetId="24" r:id="rId7"/>
    <sheet name="iWoDarl" sheetId="19" r:id="rId8"/>
  </sheets>
  <calcPr calcId="152511"/>
</workbook>
</file>

<file path=xl/calcChain.xml><?xml version="1.0" encoding="utf-8"?>
<calcChain xmlns="http://schemas.openxmlformats.org/spreadsheetml/2006/main">
  <c r="I7" i="24" l="1"/>
  <c r="N7" i="24" s="1"/>
  <c r="G21" i="23"/>
  <c r="F21" i="23"/>
  <c r="E21" i="23"/>
  <c r="D21" i="23"/>
  <c r="B21" i="23"/>
  <c r="K35" i="31" l="1"/>
  <c r="G20" i="23" s="1"/>
  <c r="K34" i="31"/>
  <c r="G19" i="23" s="1"/>
  <c r="K33" i="31"/>
  <c r="G18" i="23" s="1"/>
  <c r="K32" i="31"/>
  <c r="G17" i="23" s="1"/>
  <c r="K31" i="31"/>
  <c r="G16" i="23" s="1"/>
  <c r="K30" i="31"/>
  <c r="G15" i="23" s="1"/>
  <c r="K29" i="31"/>
  <c r="G14" i="23" s="1"/>
  <c r="K28" i="31"/>
  <c r="G13" i="23" s="1"/>
  <c r="K27" i="31"/>
  <c r="G12" i="23" s="1"/>
  <c r="K26" i="31"/>
  <c r="G11" i="23" s="1"/>
  <c r="K25" i="31"/>
  <c r="G10" i="23" s="1"/>
  <c r="K24" i="31"/>
  <c r="G9" i="23" s="1"/>
  <c r="K23" i="31"/>
  <c r="G8" i="23" s="1"/>
  <c r="K22" i="31"/>
  <c r="G7" i="23" s="1"/>
  <c r="K21" i="31"/>
  <c r="G6" i="23" s="1"/>
  <c r="K20" i="31"/>
  <c r="G5" i="23" s="1"/>
  <c r="K19" i="31"/>
  <c r="G4" i="23" s="1"/>
  <c r="K18" i="31"/>
  <c r="G3" i="23" s="1"/>
  <c r="K17" i="31"/>
  <c r="G2" i="23" s="1"/>
  <c r="K16" i="31"/>
  <c r="K15" i="31"/>
  <c r="B15" i="31"/>
  <c r="M15" i="31" s="1"/>
  <c r="B9" i="31"/>
  <c r="L15" i="31" l="1"/>
  <c r="N15" i="31"/>
  <c r="B9" i="29"/>
  <c r="D20" i="17"/>
  <c r="H16" i="31" s="1"/>
  <c r="H17" i="31" l="1"/>
  <c r="F8" i="24"/>
  <c r="H16" i="29"/>
  <c r="H17" i="29"/>
  <c r="H18" i="29" s="1"/>
  <c r="H19" i="29" s="1"/>
  <c r="H20" i="29" s="1"/>
  <c r="H21" i="29" s="1"/>
  <c r="H22" i="29" s="1"/>
  <c r="H23" i="29" s="1"/>
  <c r="H24" i="29" s="1"/>
  <c r="H25" i="29" s="1"/>
  <c r="H26" i="29" s="1"/>
  <c r="H27" i="29" s="1"/>
  <c r="H28" i="29" s="1"/>
  <c r="H29" i="29" s="1"/>
  <c r="H30" i="29" s="1"/>
  <c r="H31" i="29" s="1"/>
  <c r="H32" i="29" s="1"/>
  <c r="H33" i="29" s="1"/>
  <c r="H34" i="29" s="1"/>
  <c r="H35" i="29" s="1"/>
  <c r="B15" i="29"/>
  <c r="E2" i="23" l="1"/>
  <c r="F9" i="24"/>
  <c r="H18" i="31"/>
  <c r="H19" i="31" l="1"/>
  <c r="F10" i="24"/>
  <c r="E3" i="23"/>
  <c r="H20" i="31" l="1"/>
  <c r="F11" i="24"/>
  <c r="E4" i="23"/>
  <c r="H21" i="31" l="1"/>
  <c r="E5" i="23"/>
  <c r="F12" i="24"/>
  <c r="H22" i="31" l="1"/>
  <c r="E6" i="23"/>
  <c r="F13" i="24"/>
  <c r="H23" i="31" l="1"/>
  <c r="F14" i="24"/>
  <c r="E7" i="23"/>
  <c r="H24" i="31" l="1"/>
  <c r="F15" i="24"/>
  <c r="E8" i="23"/>
  <c r="H25" i="31" l="1"/>
  <c r="E9" i="23"/>
  <c r="F16" i="24"/>
  <c r="H26" i="31" l="1"/>
  <c r="E10" i="23"/>
  <c r="F17" i="24"/>
  <c r="H27" i="31" l="1"/>
  <c r="F18" i="24"/>
  <c r="E11" i="23"/>
  <c r="H28" i="31" l="1"/>
  <c r="F19" i="24"/>
  <c r="E12" i="23"/>
  <c r="H29" i="31" l="1"/>
  <c r="E13" i="23"/>
  <c r="F20" i="24"/>
  <c r="H30" i="31" l="1"/>
  <c r="E14" i="23"/>
  <c r="F21" i="24"/>
  <c r="H31" i="31" l="1"/>
  <c r="F22" i="24"/>
  <c r="E15" i="23"/>
  <c r="H32" i="31" l="1"/>
  <c r="F23" i="24"/>
  <c r="E16" i="23"/>
  <c r="H33" i="31" l="1"/>
  <c r="E17" i="23"/>
  <c r="F24" i="24"/>
  <c r="H34" i="31" l="1"/>
  <c r="E18" i="23"/>
  <c r="F25" i="24"/>
  <c r="H35" i="31" l="1"/>
  <c r="F26" i="24"/>
  <c r="E19" i="23"/>
  <c r="F27" i="24" l="1"/>
  <c r="E20" i="23"/>
  <c r="C3" i="19" l="1"/>
  <c r="B10" i="19" s="1"/>
  <c r="D14" i="17"/>
  <c r="D24" i="17"/>
  <c r="D19" i="17"/>
  <c r="B21" i="14"/>
  <c r="D9" i="17" s="1"/>
  <c r="B24" i="14"/>
  <c r="J8" i="24" s="1"/>
  <c r="H2" i="23"/>
  <c r="J5" i="23" s="1"/>
  <c r="J21" i="23"/>
  <c r="B16" i="14"/>
  <c r="D16" i="14" s="1"/>
  <c r="D11" i="14"/>
  <c r="D12" i="14"/>
  <c r="D15" i="14"/>
  <c r="D18" i="14"/>
  <c r="C5" i="14"/>
  <c r="C6" i="14"/>
  <c r="C7" i="14" s="1"/>
  <c r="D10" i="14"/>
  <c r="C11" i="14"/>
  <c r="C12" i="14"/>
  <c r="C13" i="14"/>
  <c r="C14" i="14"/>
  <c r="C15" i="14"/>
  <c r="C16" i="14"/>
  <c r="C17" i="14"/>
  <c r="C18" i="14"/>
  <c r="C19" i="14"/>
  <c r="C20" i="14"/>
  <c r="C10" i="14"/>
  <c r="C52" i="15"/>
  <c r="B6" i="15"/>
  <c r="B10" i="15" s="1"/>
  <c r="J6" i="23"/>
  <c r="K9" i="24" l="1"/>
  <c r="K13" i="24"/>
  <c r="K24" i="24"/>
  <c r="K22" i="24"/>
  <c r="K12" i="24"/>
  <c r="K16" i="24"/>
  <c r="K14" i="24"/>
  <c r="K21" i="24"/>
  <c r="K27" i="24"/>
  <c r="K26" i="24"/>
  <c r="K8" i="24"/>
  <c r="J9" i="24" s="1"/>
  <c r="J10" i="24" s="1"/>
  <c r="J11" i="24" s="1"/>
  <c r="J12" i="24" s="1"/>
  <c r="J13" i="24" s="1"/>
  <c r="J14" i="24" s="1"/>
  <c r="J15" i="24" s="1"/>
  <c r="J16" i="24" s="1"/>
  <c r="J17" i="24" s="1"/>
  <c r="K19" i="24"/>
  <c r="K18" i="24"/>
  <c r="K25" i="24"/>
  <c r="K15" i="24"/>
  <c r="K23" i="24"/>
  <c r="K20" i="24"/>
  <c r="K11" i="24"/>
  <c r="K10" i="24"/>
  <c r="K17" i="24"/>
  <c r="G16" i="29"/>
  <c r="G16" i="31"/>
  <c r="C16" i="31"/>
  <c r="D23" i="17"/>
  <c r="C16" i="29"/>
  <c r="J13" i="23"/>
  <c r="E15" i="31"/>
  <c r="E16" i="31" s="1"/>
  <c r="E15" i="29"/>
  <c r="J16" i="23"/>
  <c r="J18" i="23"/>
  <c r="J20" i="23"/>
  <c r="J14" i="23"/>
  <c r="J2" i="23"/>
  <c r="H3" i="23" s="1"/>
  <c r="J10" i="23"/>
  <c r="J19" i="23"/>
  <c r="J3" i="23"/>
  <c r="J8" i="23"/>
  <c r="J17" i="23"/>
  <c r="G17" i="29"/>
  <c r="J11" i="23"/>
  <c r="J4" i="23"/>
  <c r="J9" i="23"/>
  <c r="J12" i="23"/>
  <c r="J7" i="23"/>
  <c r="C10" i="19"/>
  <c r="D10" i="19"/>
  <c r="D20" i="14"/>
  <c r="D19" i="14"/>
  <c r="D13" i="14"/>
  <c r="D21" i="14"/>
  <c r="C21" i="14"/>
  <c r="D14" i="14"/>
  <c r="D17" i="14"/>
  <c r="B22" i="14"/>
  <c r="J15" i="23"/>
  <c r="J18" i="24" l="1"/>
  <c r="J19" i="24" s="1"/>
  <c r="J20" i="24" s="1"/>
  <c r="J21" i="24" s="1"/>
  <c r="J22" i="24" s="1"/>
  <c r="J23" i="24" s="1"/>
  <c r="J24" i="24" s="1"/>
  <c r="J25" i="24" s="1"/>
  <c r="J26" i="24" s="1"/>
  <c r="J27" i="24" s="1"/>
  <c r="B11" i="19"/>
  <c r="D8" i="24"/>
  <c r="G17" i="31"/>
  <c r="E8" i="24"/>
  <c r="E16" i="29"/>
  <c r="L15" i="29"/>
  <c r="M15" i="29"/>
  <c r="E17" i="31"/>
  <c r="D16" i="31"/>
  <c r="B8" i="24"/>
  <c r="C17" i="31"/>
  <c r="I16" i="31"/>
  <c r="G8" i="24" s="1"/>
  <c r="C8" i="24"/>
  <c r="C2" i="23"/>
  <c r="I16" i="29"/>
  <c r="J16" i="29" s="1"/>
  <c r="C17" i="29"/>
  <c r="D33" i="24"/>
  <c r="D34" i="24" s="1"/>
  <c r="H4" i="23"/>
  <c r="H5" i="23" s="1"/>
  <c r="H6" i="23" s="1"/>
  <c r="H7" i="23" s="1"/>
  <c r="H8" i="23" s="1"/>
  <c r="H9" i="23" s="1"/>
  <c r="H10" i="23" s="1"/>
  <c r="H11" i="23" s="1"/>
  <c r="H12" i="23" s="1"/>
  <c r="H13" i="23" s="1"/>
  <c r="H14" i="23" s="1"/>
  <c r="H15" i="23" s="1"/>
  <c r="H16" i="23" s="1"/>
  <c r="H17" i="23" s="1"/>
  <c r="H18" i="23" s="1"/>
  <c r="H19" i="23" s="1"/>
  <c r="H20" i="23" s="1"/>
  <c r="H21" i="23" s="1"/>
  <c r="G18" i="29"/>
  <c r="E10" i="19"/>
  <c r="C6" i="19"/>
  <c r="D18" i="17"/>
  <c r="C22" i="14"/>
  <c r="D22" i="14"/>
  <c r="C11" i="19"/>
  <c r="B10" i="29" l="1"/>
  <c r="M16" i="29"/>
  <c r="E17" i="29"/>
  <c r="D16" i="29"/>
  <c r="C9" i="24"/>
  <c r="C3" i="23"/>
  <c r="E18" i="31"/>
  <c r="D17" i="31"/>
  <c r="C18" i="31"/>
  <c r="B9" i="24"/>
  <c r="B2" i="23"/>
  <c r="I17" i="31"/>
  <c r="C18" i="29"/>
  <c r="I17" i="29"/>
  <c r="J17" i="29" s="1"/>
  <c r="M17" i="29" s="1"/>
  <c r="G18" i="31"/>
  <c r="D2" i="23"/>
  <c r="E9" i="24"/>
  <c r="L8" i="24"/>
  <c r="M8" i="24" s="1"/>
  <c r="H8" i="24"/>
  <c r="I8" i="24" s="1"/>
  <c r="G19" i="29"/>
  <c r="D11" i="19"/>
  <c r="D17" i="17"/>
  <c r="G9" i="24" l="1"/>
  <c r="F2" i="23"/>
  <c r="H9" i="24"/>
  <c r="L9" i="24" s="1"/>
  <c r="M9" i="24" s="1"/>
  <c r="D18" i="31"/>
  <c r="E19" i="31"/>
  <c r="E18" i="29"/>
  <c r="D17" i="29"/>
  <c r="I9" i="24"/>
  <c r="F35" i="31"/>
  <c r="F33" i="31"/>
  <c r="F31" i="31"/>
  <c r="F29" i="31"/>
  <c r="F27" i="31"/>
  <c r="F25" i="31"/>
  <c r="F23" i="31"/>
  <c r="F21" i="31"/>
  <c r="F19" i="31"/>
  <c r="F34" i="31"/>
  <c r="F30" i="31"/>
  <c r="F26" i="31"/>
  <c r="F22" i="31"/>
  <c r="F20" i="31"/>
  <c r="F17" i="31"/>
  <c r="J17" i="31" s="1"/>
  <c r="F16" i="31"/>
  <c r="J16" i="31" s="1"/>
  <c r="F32" i="31"/>
  <c r="F28" i="31"/>
  <c r="F24" i="31"/>
  <c r="F18" i="31"/>
  <c r="F34" i="29"/>
  <c r="F30" i="29"/>
  <c r="F26" i="29"/>
  <c r="F22" i="29"/>
  <c r="F18" i="29"/>
  <c r="F29" i="29"/>
  <c r="F21" i="29"/>
  <c r="F33" i="29"/>
  <c r="F25" i="29"/>
  <c r="F31" i="29"/>
  <c r="F19" i="29"/>
  <c r="F32" i="29"/>
  <c r="F28" i="29"/>
  <c r="F24" i="29"/>
  <c r="F20" i="29"/>
  <c r="F17" i="29"/>
  <c r="F35" i="29"/>
  <c r="F27" i="29"/>
  <c r="F23" i="29"/>
  <c r="F16" i="29"/>
  <c r="B12" i="19"/>
  <c r="C12" i="19" s="1"/>
  <c r="D9" i="24"/>
  <c r="J18" i="29"/>
  <c r="I18" i="29"/>
  <c r="C19" i="29"/>
  <c r="N8" i="24"/>
  <c r="G19" i="31"/>
  <c r="D3" i="23"/>
  <c r="E10" i="24"/>
  <c r="B10" i="24"/>
  <c r="B3" i="23"/>
  <c r="I18" i="31"/>
  <c r="C19" i="31"/>
  <c r="J18" i="31"/>
  <c r="M18" i="29"/>
  <c r="G20" i="29"/>
  <c r="D12" i="19"/>
  <c r="E11" i="19"/>
  <c r="K2" i="23"/>
  <c r="G20" i="31" l="1"/>
  <c r="E11" i="24"/>
  <c r="D4" i="23"/>
  <c r="M17" i="31"/>
  <c r="N17" i="31" s="1"/>
  <c r="L17" i="31"/>
  <c r="N9" i="24"/>
  <c r="B4" i="23"/>
  <c r="B11" i="24"/>
  <c r="C20" i="31"/>
  <c r="I19" i="31"/>
  <c r="J19" i="31"/>
  <c r="C20" i="29"/>
  <c r="I19" i="29"/>
  <c r="J19" i="29" s="1"/>
  <c r="M19" i="29" s="1"/>
  <c r="C10" i="24"/>
  <c r="C4" i="23"/>
  <c r="E19" i="29"/>
  <c r="D18" i="29"/>
  <c r="B13" i="19"/>
  <c r="C13" i="19" s="1"/>
  <c r="D10" i="24"/>
  <c r="M18" i="31"/>
  <c r="N18" i="31" s="1"/>
  <c r="L18" i="31"/>
  <c r="G10" i="24"/>
  <c r="H10" i="24" s="1"/>
  <c r="F3" i="23"/>
  <c r="K3" i="23" s="1"/>
  <c r="L3" i="23" s="1"/>
  <c r="M16" i="31"/>
  <c r="L16" i="31"/>
  <c r="B10" i="31"/>
  <c r="D19" i="31"/>
  <c r="E20" i="31"/>
  <c r="G21" i="29"/>
  <c r="E12" i="19"/>
  <c r="D13" i="19"/>
  <c r="L2" i="23"/>
  <c r="I10" i="24" l="1"/>
  <c r="N10" i="24" s="1"/>
  <c r="L10" i="24"/>
  <c r="M10" i="24" s="1"/>
  <c r="B14" i="19"/>
  <c r="C14" i="19" s="1"/>
  <c r="D11" i="24"/>
  <c r="N16" i="31"/>
  <c r="B5" i="23"/>
  <c r="B12" i="24"/>
  <c r="I20" i="31"/>
  <c r="C21" i="31"/>
  <c r="H11" i="24"/>
  <c r="E21" i="31"/>
  <c r="D20" i="31"/>
  <c r="L19" i="31"/>
  <c r="M19" i="31"/>
  <c r="N19" i="31" s="1"/>
  <c r="E20" i="29"/>
  <c r="D19" i="29"/>
  <c r="C21" i="29"/>
  <c r="I20" i="29"/>
  <c r="J20" i="29" s="1"/>
  <c r="M20" i="29" s="1"/>
  <c r="F4" i="23"/>
  <c r="G11" i="24"/>
  <c r="C11" i="24"/>
  <c r="L11" i="24" s="1"/>
  <c r="M11" i="24" s="1"/>
  <c r="C5" i="23"/>
  <c r="G21" i="31"/>
  <c r="E12" i="24"/>
  <c r="D5" i="23"/>
  <c r="G22" i="29"/>
  <c r="E13" i="19"/>
  <c r="D14" i="19"/>
  <c r="D21" i="31" l="1"/>
  <c r="E22" i="31"/>
  <c r="C12" i="24"/>
  <c r="C6" i="23"/>
  <c r="G22" i="31"/>
  <c r="D6" i="23"/>
  <c r="E13" i="24"/>
  <c r="B13" i="24"/>
  <c r="B6" i="23"/>
  <c r="C22" i="31"/>
  <c r="I21" i="31"/>
  <c r="E21" i="29"/>
  <c r="D20" i="29"/>
  <c r="B15" i="19"/>
  <c r="C15" i="19" s="1"/>
  <c r="D12" i="24"/>
  <c r="J21" i="29"/>
  <c r="M21" i="29" s="1"/>
  <c r="I21" i="29"/>
  <c r="C22" i="29"/>
  <c r="I11" i="24"/>
  <c r="N11" i="24" s="1"/>
  <c r="J20" i="31"/>
  <c r="F5" i="23"/>
  <c r="G12" i="24"/>
  <c r="H12" i="24" s="1"/>
  <c r="I12" i="24" s="1"/>
  <c r="G23" i="29"/>
  <c r="E14" i="19"/>
  <c r="D15" i="19"/>
  <c r="L12" i="24" l="1"/>
  <c r="M12" i="24" s="1"/>
  <c r="N12" i="24"/>
  <c r="B14" i="24"/>
  <c r="B7" i="23"/>
  <c r="C23" i="31"/>
  <c r="I22" i="31"/>
  <c r="L20" i="31"/>
  <c r="M20" i="31"/>
  <c r="J21" i="31"/>
  <c r="G13" i="24"/>
  <c r="F6" i="23"/>
  <c r="C13" i="24"/>
  <c r="I13" i="24" s="1"/>
  <c r="C7" i="23"/>
  <c r="E22" i="29"/>
  <c r="D21" i="29"/>
  <c r="G23" i="31"/>
  <c r="D7" i="23"/>
  <c r="E14" i="24"/>
  <c r="E23" i="31"/>
  <c r="D22" i="31"/>
  <c r="B16" i="19"/>
  <c r="C16" i="19" s="1"/>
  <c r="D13" i="24"/>
  <c r="H13" i="24"/>
  <c r="J22" i="29"/>
  <c r="M22" i="29" s="1"/>
  <c r="I22" i="29"/>
  <c r="C23" i="29"/>
  <c r="G24" i="29"/>
  <c r="K4" i="23"/>
  <c r="L4" i="23" s="1"/>
  <c r="D16" i="19"/>
  <c r="E15" i="19"/>
  <c r="N20" i="31" l="1"/>
  <c r="B17" i="19"/>
  <c r="C17" i="19" s="1"/>
  <c r="D14" i="24"/>
  <c r="L13" i="24"/>
  <c r="M13" i="24" s="1"/>
  <c r="N13" i="24" s="1"/>
  <c r="E24" i="31"/>
  <c r="D23" i="31"/>
  <c r="D22" i="29"/>
  <c r="E23" i="29"/>
  <c r="J22" i="31"/>
  <c r="G14" i="24"/>
  <c r="H14" i="24" s="1"/>
  <c r="I14" i="24" s="1"/>
  <c r="F7" i="23"/>
  <c r="G24" i="31"/>
  <c r="E15" i="24"/>
  <c r="D8" i="23"/>
  <c r="I23" i="29"/>
  <c r="J23" i="29" s="1"/>
  <c r="M23" i="29" s="1"/>
  <c r="C24" i="29"/>
  <c r="C14" i="24"/>
  <c r="C8" i="23"/>
  <c r="L21" i="31"/>
  <c r="M21" i="31"/>
  <c r="N21" i="31" s="1"/>
  <c r="B8" i="23"/>
  <c r="B15" i="24"/>
  <c r="C24" i="31"/>
  <c r="I23" i="31"/>
  <c r="G25" i="29"/>
  <c r="D17" i="19"/>
  <c r="E16" i="19"/>
  <c r="L14" i="24" l="1"/>
  <c r="M14" i="24" s="1"/>
  <c r="N14" i="24" s="1"/>
  <c r="E24" i="29"/>
  <c r="D23" i="29"/>
  <c r="C15" i="24"/>
  <c r="C9" i="23"/>
  <c r="E25" i="31"/>
  <c r="D24" i="31"/>
  <c r="B18" i="19"/>
  <c r="C18" i="19" s="1"/>
  <c r="D15" i="24"/>
  <c r="B9" i="23"/>
  <c r="B16" i="24"/>
  <c r="C25" i="31"/>
  <c r="I24" i="31"/>
  <c r="G25" i="31"/>
  <c r="E16" i="24"/>
  <c r="D9" i="23"/>
  <c r="J23" i="31"/>
  <c r="F8" i="23"/>
  <c r="G15" i="24"/>
  <c r="J24" i="29"/>
  <c r="M24" i="29" s="1"/>
  <c r="C25" i="29"/>
  <c r="I24" i="29"/>
  <c r="H15" i="24"/>
  <c r="L15" i="24" s="1"/>
  <c r="M15" i="24" s="1"/>
  <c r="L22" i="31"/>
  <c r="M22" i="31"/>
  <c r="N22" i="31" s="1"/>
  <c r="G26" i="29"/>
  <c r="K5" i="23"/>
  <c r="L5" i="23" s="1"/>
  <c r="D18" i="19"/>
  <c r="E17" i="19"/>
  <c r="J24" i="31" l="1"/>
  <c r="F9" i="23"/>
  <c r="G16" i="24"/>
  <c r="E26" i="31"/>
  <c r="D25" i="31"/>
  <c r="B17" i="24"/>
  <c r="B10" i="23"/>
  <c r="C26" i="31"/>
  <c r="I25" i="31"/>
  <c r="C16" i="24"/>
  <c r="C10" i="23"/>
  <c r="E25" i="29"/>
  <c r="D24" i="29"/>
  <c r="C26" i="29"/>
  <c r="I25" i="29"/>
  <c r="J25" i="29" s="1"/>
  <c r="M25" i="29" s="1"/>
  <c r="B19" i="19"/>
  <c r="D16" i="24"/>
  <c r="L23" i="31"/>
  <c r="M23" i="31"/>
  <c r="N23" i="31" s="1"/>
  <c r="I15" i="24"/>
  <c r="N15" i="24" s="1"/>
  <c r="H16" i="24"/>
  <c r="L16" i="24"/>
  <c r="M16" i="24" s="1"/>
  <c r="G26" i="31"/>
  <c r="D10" i="23"/>
  <c r="E17" i="24"/>
  <c r="G27" i="29"/>
  <c r="C19" i="19"/>
  <c r="E18" i="19"/>
  <c r="D25" i="29" l="1"/>
  <c r="E26" i="29"/>
  <c r="B18" i="24"/>
  <c r="B11" i="23"/>
  <c r="C27" i="31"/>
  <c r="I26" i="31"/>
  <c r="E27" i="31"/>
  <c r="D26" i="31"/>
  <c r="I16" i="24"/>
  <c r="N16" i="24" s="1"/>
  <c r="C27" i="29"/>
  <c r="I26" i="29"/>
  <c r="J26" i="29" s="1"/>
  <c r="M26" i="29" s="1"/>
  <c r="C17" i="24"/>
  <c r="C11" i="23"/>
  <c r="G27" i="31"/>
  <c r="D11" i="23"/>
  <c r="E18" i="24"/>
  <c r="J25" i="31"/>
  <c r="G17" i="24"/>
  <c r="H17" i="24" s="1"/>
  <c r="F10" i="23"/>
  <c r="L24" i="31"/>
  <c r="M24" i="31"/>
  <c r="N24" i="31" s="1"/>
  <c r="G28" i="29"/>
  <c r="K6" i="23"/>
  <c r="L6" i="23" s="1"/>
  <c r="D19" i="19"/>
  <c r="L17" i="24" l="1"/>
  <c r="M17" i="24" s="1"/>
  <c r="B20" i="19"/>
  <c r="C20" i="19" s="1"/>
  <c r="D17" i="24"/>
  <c r="I17" i="24" s="1"/>
  <c r="E28" i="31"/>
  <c r="D27" i="31"/>
  <c r="J27" i="29"/>
  <c r="M27" i="29" s="1"/>
  <c r="I27" i="29"/>
  <c r="C28" i="29"/>
  <c r="J26" i="31"/>
  <c r="G18" i="24"/>
  <c r="H18" i="24" s="1"/>
  <c r="F11" i="23"/>
  <c r="D26" i="29"/>
  <c r="E27" i="29"/>
  <c r="L25" i="31"/>
  <c r="M25" i="31"/>
  <c r="N25" i="31" s="1"/>
  <c r="G28" i="31"/>
  <c r="E19" i="24"/>
  <c r="D12" i="23"/>
  <c r="B12" i="23"/>
  <c r="B19" i="24"/>
  <c r="C28" i="31"/>
  <c r="I27" i="31"/>
  <c r="G29" i="29"/>
  <c r="D20" i="19"/>
  <c r="E19" i="19"/>
  <c r="G29" i="31" l="1"/>
  <c r="E20" i="24"/>
  <c r="D13" i="23"/>
  <c r="J28" i="29"/>
  <c r="M28" i="29" s="1"/>
  <c r="I28" i="29"/>
  <c r="C29" i="29"/>
  <c r="C18" i="24"/>
  <c r="C12" i="23"/>
  <c r="E29" i="31"/>
  <c r="D28" i="31"/>
  <c r="N17" i="24"/>
  <c r="J27" i="31"/>
  <c r="F12" i="23"/>
  <c r="G19" i="24"/>
  <c r="B21" i="19"/>
  <c r="C21" i="19" s="1"/>
  <c r="D18" i="24"/>
  <c r="B20" i="24"/>
  <c r="B13" i="23"/>
  <c r="C29" i="31"/>
  <c r="I28" i="31"/>
  <c r="H19" i="24"/>
  <c r="E28" i="29"/>
  <c r="D27" i="29"/>
  <c r="L26" i="31"/>
  <c r="M26" i="31"/>
  <c r="N26" i="31" s="1"/>
  <c r="G30" i="29"/>
  <c r="K7" i="23"/>
  <c r="L7" i="23" s="1"/>
  <c r="E20" i="19"/>
  <c r="C19" i="24" l="1"/>
  <c r="C13" i="23"/>
  <c r="D21" i="19"/>
  <c r="E29" i="29"/>
  <c r="D28" i="29"/>
  <c r="L18" i="24"/>
  <c r="M18" i="24" s="1"/>
  <c r="I18" i="24"/>
  <c r="B21" i="24"/>
  <c r="B14" i="23"/>
  <c r="C30" i="31"/>
  <c r="I29" i="31"/>
  <c r="I29" i="29"/>
  <c r="J29" i="29" s="1"/>
  <c r="M29" i="29" s="1"/>
  <c r="C30" i="29"/>
  <c r="H20" i="24"/>
  <c r="L19" i="24"/>
  <c r="M19" i="24" s="1"/>
  <c r="J28" i="31"/>
  <c r="F13" i="23"/>
  <c r="G20" i="24"/>
  <c r="L27" i="31"/>
  <c r="M27" i="31"/>
  <c r="N27" i="31" s="1"/>
  <c r="E30" i="31"/>
  <c r="D29" i="31"/>
  <c r="G30" i="31"/>
  <c r="D14" i="23"/>
  <c r="E21" i="24"/>
  <c r="G31" i="29"/>
  <c r="E21" i="19"/>
  <c r="E30" i="29" l="1"/>
  <c r="D29" i="29"/>
  <c r="H21" i="24"/>
  <c r="E31" i="31"/>
  <c r="D30" i="31"/>
  <c r="I30" i="29"/>
  <c r="J30" i="29" s="1"/>
  <c r="M30" i="29" s="1"/>
  <c r="C31" i="29"/>
  <c r="J29" i="31"/>
  <c r="G21" i="24"/>
  <c r="F14" i="23"/>
  <c r="N18" i="24"/>
  <c r="B22" i="19"/>
  <c r="C22" i="19" s="1"/>
  <c r="D19" i="24"/>
  <c r="L28" i="31"/>
  <c r="M28" i="31"/>
  <c r="N28" i="31" s="1"/>
  <c r="B22" i="24"/>
  <c r="B15" i="23"/>
  <c r="C31" i="31"/>
  <c r="I30" i="31"/>
  <c r="G31" i="31"/>
  <c r="D15" i="23"/>
  <c r="E22" i="24"/>
  <c r="I19" i="24"/>
  <c r="N19" i="24" s="1"/>
  <c r="G32" i="29"/>
  <c r="K8" i="23"/>
  <c r="L8" i="23" s="1"/>
  <c r="D22" i="19"/>
  <c r="G32" i="31" l="1"/>
  <c r="E23" i="24"/>
  <c r="D16" i="23"/>
  <c r="J30" i="31"/>
  <c r="G22" i="24"/>
  <c r="F15" i="23"/>
  <c r="C20" i="24"/>
  <c r="C14" i="23"/>
  <c r="L29" i="31"/>
  <c r="M29" i="31"/>
  <c r="N29" i="31" s="1"/>
  <c r="D30" i="29"/>
  <c r="E31" i="29"/>
  <c r="B23" i="19"/>
  <c r="C23" i="19" s="1"/>
  <c r="D20" i="24"/>
  <c r="H22" i="24"/>
  <c r="B16" i="23"/>
  <c r="B23" i="24"/>
  <c r="C32" i="31"/>
  <c r="I31" i="31"/>
  <c r="J31" i="29"/>
  <c r="M31" i="29" s="1"/>
  <c r="C32" i="29"/>
  <c r="I31" i="29"/>
  <c r="D31" i="31"/>
  <c r="E32" i="31"/>
  <c r="G33" i="29"/>
  <c r="E22" i="19"/>
  <c r="D23" i="19"/>
  <c r="B24" i="19" l="1"/>
  <c r="C24" i="19" s="1"/>
  <c r="D21" i="24"/>
  <c r="D32" i="31"/>
  <c r="E33" i="31"/>
  <c r="C21" i="24"/>
  <c r="C15" i="23"/>
  <c r="J32" i="29"/>
  <c r="M32" i="29" s="1"/>
  <c r="I32" i="29"/>
  <c r="C33" i="29"/>
  <c r="E32" i="29"/>
  <c r="D31" i="29"/>
  <c r="L30" i="31"/>
  <c r="M30" i="31"/>
  <c r="N30" i="31" s="1"/>
  <c r="G33" i="31"/>
  <c r="E24" i="24"/>
  <c r="D17" i="23"/>
  <c r="B17" i="23"/>
  <c r="B24" i="24"/>
  <c r="C33" i="31"/>
  <c r="I32" i="31"/>
  <c r="F16" i="23"/>
  <c r="G23" i="24"/>
  <c r="H23" i="24" s="1"/>
  <c r="J31" i="31"/>
  <c r="I20" i="24"/>
  <c r="N20" i="24" s="1"/>
  <c r="L20" i="24"/>
  <c r="M20" i="24" s="1"/>
  <c r="G34" i="29"/>
  <c r="K9" i="23"/>
  <c r="L9" i="23" s="1"/>
  <c r="E23" i="19"/>
  <c r="D24" i="19"/>
  <c r="C34" i="29" l="1"/>
  <c r="I33" i="29"/>
  <c r="J33" i="29" s="1"/>
  <c r="M33" i="29" s="1"/>
  <c r="E34" i="31"/>
  <c r="D33" i="31"/>
  <c r="J32" i="31"/>
  <c r="F17" i="23"/>
  <c r="G24" i="24"/>
  <c r="H24" i="24" s="1"/>
  <c r="I21" i="24"/>
  <c r="L21" i="24"/>
  <c r="M21" i="24" s="1"/>
  <c r="M31" i="31"/>
  <c r="N31" i="31" s="1"/>
  <c r="L31" i="31"/>
  <c r="B25" i="19"/>
  <c r="C25" i="19" s="1"/>
  <c r="D22" i="24"/>
  <c r="B25" i="24"/>
  <c r="B18" i="23"/>
  <c r="I33" i="31"/>
  <c r="C34" i="31"/>
  <c r="G34" i="31"/>
  <c r="D18" i="23"/>
  <c r="E25" i="24"/>
  <c r="E33" i="29"/>
  <c r="D32" i="29"/>
  <c r="C22" i="24"/>
  <c r="C16" i="23"/>
  <c r="G35" i="29"/>
  <c r="E24" i="19"/>
  <c r="C23" i="24" l="1"/>
  <c r="C17" i="23"/>
  <c r="D33" i="29"/>
  <c r="E34" i="29"/>
  <c r="D34" i="31"/>
  <c r="E35" i="31"/>
  <c r="D35" i="31" s="1"/>
  <c r="B26" i="24"/>
  <c r="B19" i="23"/>
  <c r="C35" i="31"/>
  <c r="I34" i="31"/>
  <c r="J33" i="31"/>
  <c r="G25" i="24"/>
  <c r="H25" i="24" s="1"/>
  <c r="F18" i="23"/>
  <c r="M32" i="31"/>
  <c r="N32" i="31" s="1"/>
  <c r="L32" i="31"/>
  <c r="I34" i="29"/>
  <c r="J34" i="29" s="1"/>
  <c r="M34" i="29" s="1"/>
  <c r="C35" i="29"/>
  <c r="L22" i="24"/>
  <c r="M22" i="24" s="1"/>
  <c r="N22" i="24" s="1"/>
  <c r="I22" i="24"/>
  <c r="G35" i="31"/>
  <c r="D19" i="23"/>
  <c r="E26" i="24"/>
  <c r="N21" i="24"/>
  <c r="K10" i="23"/>
  <c r="L10" i="23" s="1"/>
  <c r="D25" i="19"/>
  <c r="B20" i="23" l="1"/>
  <c r="B27" i="24"/>
  <c r="J35" i="31"/>
  <c r="I35" i="31"/>
  <c r="B26" i="19"/>
  <c r="D23" i="24"/>
  <c r="H26" i="24"/>
  <c r="L33" i="31"/>
  <c r="M33" i="31"/>
  <c r="N33" i="31" s="1"/>
  <c r="E27" i="24"/>
  <c r="D20" i="23"/>
  <c r="I35" i="29"/>
  <c r="J35" i="29" s="1"/>
  <c r="J34" i="31"/>
  <c r="G26" i="24"/>
  <c r="F19" i="23"/>
  <c r="E35" i="29"/>
  <c r="D35" i="29" s="1"/>
  <c r="D34" i="29"/>
  <c r="I23" i="24"/>
  <c r="L23" i="24"/>
  <c r="M23" i="24" s="1"/>
  <c r="E25" i="19"/>
  <c r="C26" i="19"/>
  <c r="B35" i="29" l="1"/>
  <c r="M35" i="29" s="1"/>
  <c r="M36" i="29" s="1"/>
  <c r="B35" i="31"/>
  <c r="L35" i="31"/>
  <c r="L36" i="31" s="1"/>
  <c r="N23" i="24"/>
  <c r="C24" i="24"/>
  <c r="C18" i="23"/>
  <c r="M34" i="31"/>
  <c r="N34" i="31" s="1"/>
  <c r="L34" i="31"/>
  <c r="H27" i="24"/>
  <c r="F20" i="23"/>
  <c r="G27" i="24"/>
  <c r="K35" i="29"/>
  <c r="K15" i="29"/>
  <c r="K33" i="29"/>
  <c r="L33" i="29" s="1"/>
  <c r="K25" i="29"/>
  <c r="L25" i="29" s="1"/>
  <c r="K24" i="29"/>
  <c r="L24" i="29" s="1"/>
  <c r="K17" i="29"/>
  <c r="L17" i="29" s="1"/>
  <c r="K22" i="29"/>
  <c r="L22" i="29" s="1"/>
  <c r="K23" i="29"/>
  <c r="L23" i="29" s="1"/>
  <c r="K29" i="29"/>
  <c r="L29" i="29" s="1"/>
  <c r="K19" i="29"/>
  <c r="L19" i="29" s="1"/>
  <c r="K20" i="29"/>
  <c r="L20" i="29" s="1"/>
  <c r="K32" i="29"/>
  <c r="L32" i="29" s="1"/>
  <c r="K26" i="29"/>
  <c r="L26" i="29" s="1"/>
  <c r="K30" i="29"/>
  <c r="L30" i="29" s="1"/>
  <c r="K16" i="29"/>
  <c r="L16" i="29" s="1"/>
  <c r="K34" i="29"/>
  <c r="L34" i="29" s="1"/>
  <c r="K28" i="29"/>
  <c r="L28" i="29" s="1"/>
  <c r="K27" i="29"/>
  <c r="L27" i="29" s="1"/>
  <c r="K18" i="29"/>
  <c r="L18" i="29" s="1"/>
  <c r="K21" i="29"/>
  <c r="L21" i="29" s="1"/>
  <c r="K31" i="29"/>
  <c r="L31" i="29" s="1"/>
  <c r="K11" i="23"/>
  <c r="L11" i="23" s="1"/>
  <c r="D26" i="19"/>
  <c r="L24" i="24" l="1"/>
  <c r="M24" i="24" s="1"/>
  <c r="L35" i="29"/>
  <c r="M35" i="31"/>
  <c r="D27" i="23"/>
  <c r="D28" i="23" s="1"/>
  <c r="B27" i="19"/>
  <c r="D24" i="24"/>
  <c r="I24" i="24" s="1"/>
  <c r="L36" i="29"/>
  <c r="E26" i="19"/>
  <c r="C27" i="19"/>
  <c r="N35" i="31" l="1"/>
  <c r="M36" i="31"/>
  <c r="C25" i="24"/>
  <c r="C19" i="23"/>
  <c r="N24" i="24"/>
  <c r="D27" i="19"/>
  <c r="L25" i="24" l="1"/>
  <c r="M25" i="24" s="1"/>
  <c r="B28" i="19"/>
  <c r="D25" i="24"/>
  <c r="I25" i="24" s="1"/>
  <c r="N25" i="24" s="1"/>
  <c r="K12" i="23"/>
  <c r="L12" i="23" s="1"/>
  <c r="E27" i="19"/>
  <c r="C28" i="19"/>
  <c r="C26" i="24" l="1"/>
  <c r="C20" i="23"/>
  <c r="D28" i="19"/>
  <c r="B29" i="19" l="1"/>
  <c r="D26" i="24"/>
  <c r="I26" i="24"/>
  <c r="N26" i="24" s="1"/>
  <c r="L26" i="24"/>
  <c r="M26" i="24" s="1"/>
  <c r="K13" i="23"/>
  <c r="L13" i="23" s="1"/>
  <c r="E28" i="19"/>
  <c r="C29" i="19"/>
  <c r="D29" i="19" l="1"/>
  <c r="C27" i="24"/>
  <c r="C21" i="23"/>
  <c r="K21" i="23" s="1"/>
  <c r="B30" i="19" l="1"/>
  <c r="D27" i="24"/>
  <c r="E29" i="19"/>
  <c r="L27" i="24"/>
  <c r="M27" i="24" s="1"/>
  <c r="I27" i="24"/>
  <c r="N27" i="24" s="1"/>
  <c r="N28" i="24" s="1"/>
  <c r="K14" i="23"/>
  <c r="L14" i="23" s="1"/>
  <c r="K15" i="23" l="1"/>
  <c r="L15" i="23" s="1"/>
  <c r="K16" i="23" l="1"/>
  <c r="L16" i="23" s="1"/>
  <c r="K17" i="23" l="1"/>
  <c r="L17" i="23" s="1"/>
  <c r="K18" i="23" l="1"/>
  <c r="L18" i="23" s="1"/>
  <c r="K20" i="23" l="1"/>
  <c r="K19" i="23" l="1"/>
  <c r="L19" i="23" s="1"/>
  <c r="L20" i="23" s="1"/>
  <c r="L21" i="23" s="1"/>
</calcChain>
</file>

<file path=xl/sharedStrings.xml><?xml version="1.0" encoding="utf-8"?>
<sst xmlns="http://schemas.openxmlformats.org/spreadsheetml/2006/main" count="198" uniqueCount="148">
  <si>
    <t>IKV</t>
  </si>
  <si>
    <t>45 TG-Stellplätze</t>
  </si>
  <si>
    <t>9 zusätzliche TG-Stellplätze</t>
  </si>
  <si>
    <t>gesamt:</t>
  </si>
  <si>
    <t>Aufstellung der Kosten</t>
  </si>
  <si>
    <t>0100 Grundstück</t>
  </si>
  <si>
    <t>0200 Herrichten und Erschließen des Grundstücks</t>
  </si>
  <si>
    <t>0300 Bauwerk</t>
  </si>
  <si>
    <t>0400 Gerätekosten</t>
  </si>
  <si>
    <t>0500 Außenanlagen</t>
  </si>
  <si>
    <t>gesamte Fremdkosten</t>
  </si>
  <si>
    <t>Werbung</t>
  </si>
  <si>
    <t>Grundstückszinsen</t>
  </si>
  <si>
    <t>Bauzeitzinsen</t>
  </si>
  <si>
    <t>PKW-Stellplätze</t>
  </si>
  <si>
    <t>HK je Einheit</t>
  </si>
  <si>
    <t>HK je Kostenart</t>
  </si>
  <si>
    <t>pro qm Wfl.</t>
  </si>
  <si>
    <t>in vH der GK</t>
  </si>
  <si>
    <t>0700 Baunebenkosten</t>
  </si>
  <si>
    <t>Gemeinkostenzuschlag</t>
  </si>
  <si>
    <t>Herstellungskosten ohne Stellplätze</t>
  </si>
  <si>
    <t>Kostenart</t>
  </si>
  <si>
    <t>Herstellungskosten mit Stellplätzen</t>
  </si>
  <si>
    <t>Wfl. in qm:</t>
  </si>
  <si>
    <t>Vermessung</t>
  </si>
  <si>
    <t>Kaufpreis desGrundstücks €</t>
  </si>
  <si>
    <t>Vermessung €</t>
  </si>
  <si>
    <t>Gerichts- und Notariatsgebühren €</t>
  </si>
  <si>
    <t>Maklerprovision €</t>
  </si>
  <si>
    <t>Grunderwerbsteuer (3,5 vH vom Kaufpreis) €</t>
  </si>
  <si>
    <t>Wertgutachten / Bodenuntersuchung €</t>
  </si>
  <si>
    <t>Abfindungen und Entschädigungen für Miet- und Pachtverhältnisse €</t>
  </si>
  <si>
    <t>Ablösung dinglicher Rechte und sonstiger Belastungen €</t>
  </si>
  <si>
    <t>gesamte Grundstückskosten €</t>
  </si>
  <si>
    <t>Herrichten, Vorbereitende Maßnahmen</t>
  </si>
  <si>
    <t>Abbrucharbeiten</t>
  </si>
  <si>
    <t>Altlastenentsorgung</t>
  </si>
  <si>
    <t>...</t>
  </si>
  <si>
    <t>Wasserversorgung</t>
  </si>
  <si>
    <t>Gasversorgung</t>
  </si>
  <si>
    <t>Fernwärmeversorgung</t>
  </si>
  <si>
    <t>Stromversorgung</t>
  </si>
  <si>
    <t>Fernmeldeanlagen</t>
  </si>
  <si>
    <t>Verkehrs- und Grünanlagen</t>
  </si>
  <si>
    <t>gesamte Kosten</t>
  </si>
  <si>
    <t>0100 Baugrundstück</t>
  </si>
  <si>
    <t>0200 Herrichten und Erschließen</t>
  </si>
  <si>
    <t>Öffentliche Erschließung (soweit nicht im Kaufpreis enthalten)</t>
  </si>
  <si>
    <t>Abwasseranlagen / Kanalisation</t>
  </si>
  <si>
    <t>Vorbereitung der Objektplanung</t>
  </si>
  <si>
    <t>Untersuchungen, Wertermittlungen, Städtebauliche Wettbewerbe und Gutachterverfahren</t>
  </si>
  <si>
    <t>Baugenehmigung</t>
  </si>
  <si>
    <t>Architekten- und Ingenieurleistungen</t>
  </si>
  <si>
    <t>Architekt</t>
  </si>
  <si>
    <t>Fachingenieure, Sonderfachleute</t>
  </si>
  <si>
    <t>Nebenkosten</t>
  </si>
  <si>
    <t>Gutachten und Beratung (Bauphysiker, Bodengutachter)</t>
  </si>
  <si>
    <t>Allgemeine Baunebenkosten</t>
  </si>
  <si>
    <t>a) bautechnische Verm.</t>
  </si>
  <si>
    <t>b) Grundstücksteilung</t>
  </si>
  <si>
    <t>c) Gebäudeeinmessung</t>
  </si>
  <si>
    <t>Prüfungen, Abnahmen, Genehmigungen</t>
  </si>
  <si>
    <t>a) Prüfstatik</t>
  </si>
  <si>
    <t>b) Abnahme durch Sachverständigen</t>
  </si>
  <si>
    <t>c) Sonstiges</t>
  </si>
  <si>
    <t>Gerichts- und Notariatskosten (Baudurchführung)</t>
  </si>
  <si>
    <t>b) Sonstiges</t>
  </si>
  <si>
    <t>Sonstige Baunebenkosten</t>
  </si>
  <si>
    <t>a) Richtfest</t>
  </si>
  <si>
    <t>I.</t>
  </si>
  <si>
    <t>Grunddaten</t>
  </si>
  <si>
    <t>Wohnfläche in m2</t>
  </si>
  <si>
    <t>Zins für Fremdkapital in Prozent</t>
  </si>
  <si>
    <t>Gesamtkosten €</t>
  </si>
  <si>
    <t xml:space="preserve">II. </t>
  </si>
  <si>
    <t>Finanzierungsstruktur</t>
  </si>
  <si>
    <t>Eigenkapital €</t>
  </si>
  <si>
    <t>Fremdkapital €</t>
  </si>
  <si>
    <t>III.</t>
  </si>
  <si>
    <t xml:space="preserve">A. </t>
  </si>
  <si>
    <t>Kapitalkosten</t>
  </si>
  <si>
    <t>Annuität auf das Hypothekendarlehen €</t>
  </si>
  <si>
    <t>B.</t>
  </si>
  <si>
    <t>Bewirtschaftungskosten</t>
  </si>
  <si>
    <t>IV.</t>
  </si>
  <si>
    <t>Mieteinnahmen pro Jahr gesamte Wohnanlage €</t>
  </si>
  <si>
    <t>pro Monat und m2 €</t>
  </si>
  <si>
    <t>t</t>
  </si>
  <si>
    <t>CF</t>
  </si>
  <si>
    <t>Abz.</t>
  </si>
  <si>
    <t>Barwerte</t>
  </si>
  <si>
    <t>Modernisierung</t>
  </si>
  <si>
    <t>Miete</t>
  </si>
  <si>
    <t>Kapital</t>
  </si>
  <si>
    <t>Ausfall</t>
  </si>
  <si>
    <t>Verw.</t>
  </si>
  <si>
    <t>Inst.</t>
  </si>
  <si>
    <t>Mod.</t>
  </si>
  <si>
    <r>
      <t>A</t>
    </r>
    <r>
      <rPr>
        <b/>
        <vertAlign val="subscript"/>
        <sz val="10"/>
        <rFont val="Arial"/>
        <family val="2"/>
      </rPr>
      <t>0</t>
    </r>
    <r>
      <rPr>
        <b/>
        <sz val="10"/>
        <rFont val="Arial"/>
        <family val="2"/>
      </rPr>
      <t>/R</t>
    </r>
    <r>
      <rPr>
        <b/>
        <vertAlign val="subscript"/>
        <sz val="10"/>
        <rFont val="Arial"/>
        <family val="2"/>
      </rPr>
      <t>15</t>
    </r>
  </si>
  <si>
    <t>cap rate</t>
  </si>
  <si>
    <t>exit rate</t>
  </si>
  <si>
    <t>Inst.setz</t>
  </si>
  <si>
    <t>Inst.halt</t>
  </si>
  <si>
    <t>Anzahl Wohneinheiten</t>
  </si>
  <si>
    <t>Verwaltungskosten je Wohneinheit €</t>
  </si>
  <si>
    <t>Instandhaltungskosten je m2 €</t>
  </si>
  <si>
    <t>Verwaltung</t>
  </si>
  <si>
    <t>Instandhaltung</t>
  </si>
  <si>
    <t>Mietausfall</t>
  </si>
  <si>
    <r>
      <t>i t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in Prozent</t>
    </r>
  </si>
  <si>
    <t>anf. Tilgung Prozent</t>
  </si>
  <si>
    <t>Zinsen €</t>
  </si>
  <si>
    <t>Tilgung €</t>
  </si>
  <si>
    <t>Restschuld €</t>
  </si>
  <si>
    <t>Wertst.</t>
  </si>
  <si>
    <t>Wertentw.</t>
  </si>
  <si>
    <t>Miete1</t>
  </si>
  <si>
    <t>Miete2</t>
  </si>
  <si>
    <t>Miete3</t>
  </si>
  <si>
    <t>Miete4</t>
  </si>
  <si>
    <t>Instandsetzung</t>
  </si>
  <si>
    <t>Laufende Auszahlungen ("Aufwendungen") im 1. Jahr</t>
  </si>
  <si>
    <t>Mietausfall in Prozent der Miete</t>
  </si>
  <si>
    <t>CF2</t>
  </si>
  <si>
    <t>EK</t>
  </si>
  <si>
    <t>Tilgung</t>
  </si>
  <si>
    <t>Abschr.</t>
  </si>
  <si>
    <t>Gewinn</t>
  </si>
  <si>
    <t>Zinsaufwand</t>
  </si>
  <si>
    <t>Abschr.sätze</t>
  </si>
  <si>
    <t>Gebäude</t>
  </si>
  <si>
    <t>davon aktivierungsfähig beim Gebäude</t>
  </si>
  <si>
    <t>Buchgewinn</t>
  </si>
  <si>
    <t>darauf KSt</t>
  </si>
  <si>
    <t>Nutzungsdauer Jahre</t>
  </si>
  <si>
    <t>Bew.</t>
  </si>
  <si>
    <t>Ertragsteuersatz:</t>
  </si>
  <si>
    <t>Eink.VuV</t>
  </si>
  <si>
    <t>Est.</t>
  </si>
  <si>
    <t>CF.v.St.</t>
  </si>
  <si>
    <t>Annuität €</t>
  </si>
  <si>
    <t>Annuität</t>
  </si>
  <si>
    <t>KalkZins</t>
  </si>
  <si>
    <t>AfA-Satz:</t>
  </si>
  <si>
    <t>CF.n.St.</t>
  </si>
  <si>
    <t>KalkZins:</t>
  </si>
  <si>
    <t>NBW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</si>
</sst>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"/>
    <numFmt numFmtId="166" formatCode="#,##0_ ;[Red]\-#,##0\ "/>
    <numFmt numFmtId="167" formatCode="0.00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u/>
      <sz val="10"/>
      <name val="Arial"/>
      <family val="2"/>
    </font>
    <font>
      <vertAlign val="subscript"/>
      <sz val="10"/>
      <name val="Arial"/>
      <family val="2"/>
    </font>
    <font>
      <sz val="8"/>
      <name val="Arial"/>
      <family val="2"/>
    </font>
    <font>
      <sz val="10"/>
      <color theme="0" tint="-0.249977111117893"/>
      <name val="Arial"/>
      <family val="2"/>
    </font>
    <font>
      <sz val="10"/>
      <color rgb="FF00B050"/>
      <name val="Arial"/>
      <family val="2"/>
    </font>
    <font>
      <sz val="10"/>
      <color rgb="FFFF9999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3" fontId="0" fillId="0" borderId="0" xfId="0" applyNumberFormat="1" applyAlignment="1">
      <alignment horizontal="center"/>
    </xf>
    <xf numFmtId="0" fontId="1" fillId="0" borderId="0" xfId="0" applyFont="1"/>
    <xf numFmtId="3" fontId="2" fillId="0" borderId="0" xfId="0" applyNumberFormat="1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0" fontId="0" fillId="0" borderId="0" xfId="0" applyNumberForma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/>
    <xf numFmtId="3" fontId="0" fillId="0" borderId="0" xfId="0" applyNumberFormat="1" applyAlignment="1">
      <alignment horizontal="left"/>
    </xf>
    <xf numFmtId="167" fontId="0" fillId="0" borderId="0" xfId="0" applyNumberFormat="1"/>
    <xf numFmtId="4" fontId="2" fillId="0" borderId="0" xfId="0" applyNumberFormat="1" applyFont="1"/>
    <xf numFmtId="3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3" fontId="4" fillId="0" borderId="0" xfId="0" applyNumberFormat="1" applyFont="1" applyAlignment="1">
      <alignment horizontal="right"/>
    </xf>
    <xf numFmtId="4" fontId="0" fillId="0" borderId="0" xfId="0" applyNumberFormat="1"/>
    <xf numFmtId="166" fontId="0" fillId="0" borderId="0" xfId="0" applyNumberFormat="1"/>
    <xf numFmtId="0" fontId="2" fillId="0" borderId="0" xfId="0" applyFont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0" fillId="2" borderId="0" xfId="0" applyFill="1"/>
    <xf numFmtId="0" fontId="1" fillId="0" borderId="2" xfId="0" applyFont="1" applyBorder="1" applyAlignment="1">
      <alignment horizontal="center"/>
    </xf>
    <xf numFmtId="3" fontId="0" fillId="0" borderId="2" xfId="0" applyNumberFormat="1" applyBorder="1"/>
    <xf numFmtId="0" fontId="1" fillId="0" borderId="3" xfId="0" applyFont="1" applyBorder="1" applyAlignment="1">
      <alignment horizontal="center"/>
    </xf>
    <xf numFmtId="3" fontId="0" fillId="0" borderId="3" xfId="0" applyNumberFormat="1" applyBorder="1"/>
    <xf numFmtId="3" fontId="2" fillId="0" borderId="0" xfId="0" applyNumberFormat="1" applyFont="1" applyFill="1" applyBorder="1" applyAlignment="1">
      <alignment horizontal="right"/>
    </xf>
    <xf numFmtId="0" fontId="0" fillId="3" borderId="0" xfId="0" applyFill="1"/>
    <xf numFmtId="165" fontId="0" fillId="3" borderId="0" xfId="0" applyNumberFormat="1" applyFill="1"/>
    <xf numFmtId="3" fontId="7" fillId="0" borderId="0" xfId="0" applyNumberFormat="1" applyFont="1" applyAlignment="1">
      <alignment horizontal="right"/>
    </xf>
    <xf numFmtId="164" fontId="1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0" fillId="0" borderId="2" xfId="0" applyNumberFormat="1" applyFont="1" applyBorder="1"/>
    <xf numFmtId="3" fontId="9" fillId="0" borderId="0" xfId="0" applyNumberFormat="1" applyFont="1"/>
    <xf numFmtId="3" fontId="10" fillId="0" borderId="0" xfId="0" applyNumberFormat="1" applyFont="1"/>
    <xf numFmtId="3" fontId="8" fillId="0" borderId="0" xfId="0" applyNumberFormat="1" applyFont="1" applyAlignment="1">
      <alignment horizontal="center"/>
    </xf>
    <xf numFmtId="3" fontId="10" fillId="0" borderId="3" xfId="0" applyNumberFormat="1" applyFont="1" applyBorder="1"/>
    <xf numFmtId="3" fontId="1" fillId="0" borderId="0" xfId="0" applyNumberFormat="1" applyFont="1" applyFill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97853577904774"/>
          <c:y val="8.2457599295169409E-2"/>
          <c:w val="0.75263733778872699"/>
          <c:h val="0.746968840673887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'iWoTab GK'!$A$16:$A$35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val>
        </c:ser>
        <c:ser>
          <c:idx val="1"/>
          <c:order val="1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'iWoTab GK'!$J$16:$J$35</c:f>
              <c:numCache>
                <c:formatCode>#,##0</c:formatCode>
                <c:ptCount val="20"/>
                <c:pt idx="0">
                  <c:v>392613.25</c:v>
                </c:pt>
                <c:pt idx="1">
                  <c:v>398226.60874999996</c:v>
                </c:pt>
                <c:pt idx="2">
                  <c:v>403917.27188124985</c:v>
                </c:pt>
                <c:pt idx="3">
                  <c:v>409686.2265594686</c:v>
                </c:pt>
                <c:pt idx="4">
                  <c:v>415534.4704478606</c:v>
                </c:pt>
                <c:pt idx="5">
                  <c:v>420085.03921359789</c:v>
                </c:pt>
                <c:pt idx="6">
                  <c:v>424679.71894660871</c:v>
                </c:pt>
                <c:pt idx="7">
                  <c:v>429318.78258601361</c:v>
                </c:pt>
                <c:pt idx="8">
                  <c:v>434002.50002644985</c:v>
                </c:pt>
                <c:pt idx="9">
                  <c:v>438731.13792489452</c:v>
                </c:pt>
                <c:pt idx="10">
                  <c:v>442042.30037041078</c:v>
                </c:pt>
                <c:pt idx="11">
                  <c:v>445368.19022921356</c:v>
                </c:pt>
                <c:pt idx="12">
                  <c:v>448708.57615774684</c:v>
                </c:pt>
                <c:pt idx="13">
                  <c:v>452063.21582714492</c:v>
                </c:pt>
                <c:pt idx="14">
                  <c:v>455431.85560469481</c:v>
                </c:pt>
                <c:pt idx="15">
                  <c:v>457284.55597048136</c:v>
                </c:pt>
                <c:pt idx="16">
                  <c:v>459127.76883766823</c:v>
                </c:pt>
                <c:pt idx="17">
                  <c:v>460960.94309227</c:v>
                </c:pt>
                <c:pt idx="18">
                  <c:v>462783.51227244537</c:v>
                </c:pt>
                <c:pt idx="19">
                  <c:v>464594.894180084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251328"/>
        <c:axId val="471251720"/>
      </c:barChart>
      <c:catAx>
        <c:axId val="4712513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</a:t>
                </a:r>
              </a:p>
            </c:rich>
          </c:tx>
          <c:layout>
            <c:manualLayout>
              <c:xMode val="edge"/>
              <c:yMode val="edge"/>
              <c:x val="0.58556472985447328"/>
              <c:y val="0.86822988116938837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471251720"/>
        <c:crosses val="autoZero"/>
        <c:auto val="1"/>
        <c:lblAlgn val="ctr"/>
        <c:lblOffset val="100"/>
        <c:noMultiLvlLbl val="0"/>
      </c:catAx>
      <c:valAx>
        <c:axId val="471251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CF</a:t>
                </a:r>
              </a:p>
            </c:rich>
          </c:tx>
          <c:layout>
            <c:manualLayout>
              <c:xMode val="edge"/>
              <c:yMode val="edge"/>
              <c:x val="3.0819263475371901E-2"/>
              <c:y val="0.41713835591553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712513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97853577904774"/>
          <c:y val="8.2457599295169409E-2"/>
          <c:w val="0.75263733778872699"/>
          <c:h val="0.746968840673887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'iWoTab EKneu'!$A$16:$A$35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val>
        </c:ser>
        <c:ser>
          <c:idx val="1"/>
          <c:order val="1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'iWoTab EKneu'!$J$16:$J$35</c:f>
              <c:numCache>
                <c:formatCode>#,##0</c:formatCode>
                <c:ptCount val="20"/>
                <c:pt idx="0">
                  <c:v>60727.228023360018</c:v>
                </c:pt>
                <c:pt idx="1">
                  <c:v>66340.586773359973</c:v>
                </c:pt>
                <c:pt idx="2">
                  <c:v>72031.249904609911</c:v>
                </c:pt>
                <c:pt idx="3">
                  <c:v>77800.20458282865</c:v>
                </c:pt>
                <c:pt idx="4">
                  <c:v>83648.448471220632</c:v>
                </c:pt>
                <c:pt idx="5">
                  <c:v>88199.017236957909</c:v>
                </c:pt>
                <c:pt idx="6">
                  <c:v>92793.696969968747</c:v>
                </c:pt>
                <c:pt idx="7">
                  <c:v>97432.760609373596</c:v>
                </c:pt>
                <c:pt idx="8">
                  <c:v>102116.47804980981</c:v>
                </c:pt>
                <c:pt idx="9">
                  <c:v>106845.11594825452</c:v>
                </c:pt>
                <c:pt idx="10">
                  <c:v>110156.2783937708</c:v>
                </c:pt>
                <c:pt idx="11">
                  <c:v>113482.1682525736</c:v>
                </c:pt>
                <c:pt idx="12">
                  <c:v>116822.55418110681</c:v>
                </c:pt>
                <c:pt idx="13">
                  <c:v>120177.19385050495</c:v>
                </c:pt>
                <c:pt idx="14">
                  <c:v>123545.83362805485</c:v>
                </c:pt>
                <c:pt idx="15">
                  <c:v>125398.53399384137</c:v>
                </c:pt>
                <c:pt idx="16">
                  <c:v>127241.74686102822</c:v>
                </c:pt>
                <c:pt idx="17">
                  <c:v>129074.92111563003</c:v>
                </c:pt>
                <c:pt idx="18">
                  <c:v>130897.49029580539</c:v>
                </c:pt>
                <c:pt idx="19">
                  <c:v>132708.87220344401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506416"/>
        <c:axId val="359507984"/>
      </c:barChart>
      <c:catAx>
        <c:axId val="3595064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</a:t>
                </a:r>
              </a:p>
            </c:rich>
          </c:tx>
          <c:layout>
            <c:manualLayout>
              <c:xMode val="edge"/>
              <c:yMode val="edge"/>
              <c:x val="0.58556472985447328"/>
              <c:y val="0.86822988116938837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359507984"/>
        <c:crosses val="autoZero"/>
        <c:auto val="1"/>
        <c:lblAlgn val="ctr"/>
        <c:lblOffset val="100"/>
        <c:noMultiLvlLbl val="0"/>
      </c:catAx>
      <c:valAx>
        <c:axId val="35950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CF</a:t>
                </a:r>
              </a:p>
            </c:rich>
          </c:tx>
          <c:layout>
            <c:manualLayout>
              <c:xMode val="edge"/>
              <c:yMode val="edge"/>
              <c:x val="3.0819263475371901E-2"/>
              <c:y val="0.41713835591553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95064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37</xdr:row>
      <xdr:rowOff>0</xdr:rowOff>
    </xdr:from>
    <xdr:to>
      <xdr:col>9</xdr:col>
      <xdr:colOff>495300</xdr:colOff>
      <xdr:row>56</xdr:row>
      <xdr:rowOff>7620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37</xdr:row>
      <xdr:rowOff>0</xdr:rowOff>
    </xdr:from>
    <xdr:to>
      <xdr:col>9</xdr:col>
      <xdr:colOff>495300</xdr:colOff>
      <xdr:row>56</xdr:row>
      <xdr:rowOff>7620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zoomScale="120" workbookViewId="0">
      <selection activeCell="B24" sqref="B24"/>
    </sheetView>
  </sheetViews>
  <sheetFormatPr baseColWidth="10" defaultRowHeight="13.2" x14ac:dyDescent="0.25"/>
  <cols>
    <col min="1" max="1" width="42.88671875" bestFit="1" customWidth="1"/>
    <col min="2" max="2" width="12.6640625" customWidth="1"/>
    <col min="3" max="3" width="15.44140625" bestFit="1" customWidth="1"/>
    <col min="4" max="4" width="12.5546875" bestFit="1" customWidth="1"/>
  </cols>
  <sheetData>
    <row r="2" spans="1:5" x14ac:dyDescent="0.25">
      <c r="B2" s="3" t="s">
        <v>24</v>
      </c>
      <c r="C2">
        <v>3200</v>
      </c>
    </row>
    <row r="4" spans="1:5" x14ac:dyDescent="0.25">
      <c r="A4" s="12" t="s">
        <v>14</v>
      </c>
      <c r="B4" s="12" t="s">
        <v>15</v>
      </c>
      <c r="C4" s="12" t="s">
        <v>16</v>
      </c>
    </row>
    <row r="5" spans="1:5" x14ac:dyDescent="0.25">
      <c r="A5" t="s">
        <v>1</v>
      </c>
      <c r="B5" s="1">
        <v>7500</v>
      </c>
      <c r="C5" s="1">
        <f>B5*45</f>
        <v>337500</v>
      </c>
    </row>
    <row r="6" spans="1:5" x14ac:dyDescent="0.25">
      <c r="A6" t="s">
        <v>2</v>
      </c>
      <c r="B6" s="1">
        <v>5000</v>
      </c>
      <c r="C6" s="1">
        <f>B6*9</f>
        <v>45000</v>
      </c>
    </row>
    <row r="7" spans="1:5" x14ac:dyDescent="0.25">
      <c r="A7" t="s">
        <v>3</v>
      </c>
      <c r="C7" s="2">
        <f>SUM(C5:C6)</f>
        <v>382500</v>
      </c>
    </row>
    <row r="8" spans="1:5" x14ac:dyDescent="0.25">
      <c r="C8" s="1"/>
    </row>
    <row r="9" spans="1:5" x14ac:dyDescent="0.25">
      <c r="A9" s="12" t="s">
        <v>4</v>
      </c>
      <c r="B9" s="12" t="s">
        <v>22</v>
      </c>
      <c r="C9" s="12" t="s">
        <v>17</v>
      </c>
      <c r="D9" s="12" t="s">
        <v>18</v>
      </c>
      <c r="E9" s="3"/>
    </row>
    <row r="10" spans="1:5" x14ac:dyDescent="0.25">
      <c r="A10" t="s">
        <v>5</v>
      </c>
      <c r="B10" s="1">
        <v>2000000</v>
      </c>
      <c r="C10" s="1">
        <f>B10/$C$2</f>
        <v>625</v>
      </c>
      <c r="D10" s="10">
        <f>B10/$B$21</f>
        <v>0.2764053484434924</v>
      </c>
    </row>
    <row r="11" spans="1:5" x14ac:dyDescent="0.25">
      <c r="A11" t="s">
        <v>6</v>
      </c>
      <c r="B11" s="1">
        <v>175000</v>
      </c>
      <c r="C11" s="1">
        <f t="shared" ref="C11:C21" si="0">B11/$C$2</f>
        <v>54.6875</v>
      </c>
      <c r="D11" s="10">
        <f t="shared" ref="D11:D22" si="1">B11/$B$21</f>
        <v>2.4185467988805585E-2</v>
      </c>
    </row>
    <row r="12" spans="1:5" x14ac:dyDescent="0.25">
      <c r="A12" s="25" t="s">
        <v>7</v>
      </c>
      <c r="B12" s="1">
        <v>2700000</v>
      </c>
      <c r="C12" s="1">
        <f t="shared" si="0"/>
        <v>843.75</v>
      </c>
      <c r="D12" s="10">
        <f t="shared" si="1"/>
        <v>0.37314722039871473</v>
      </c>
    </row>
    <row r="13" spans="1:5" x14ac:dyDescent="0.25">
      <c r="A13" s="25" t="s">
        <v>8</v>
      </c>
      <c r="B13" s="1">
        <v>700000</v>
      </c>
      <c r="C13" s="1">
        <f t="shared" si="0"/>
        <v>218.75</v>
      </c>
      <c r="D13" s="10">
        <f t="shared" si="1"/>
        <v>9.6741871955222339E-2</v>
      </c>
    </row>
    <row r="14" spans="1:5" x14ac:dyDescent="0.25">
      <c r="A14" s="25" t="s">
        <v>9</v>
      </c>
      <c r="B14" s="1">
        <v>175000</v>
      </c>
      <c r="C14" s="1">
        <f t="shared" si="0"/>
        <v>54.6875</v>
      </c>
      <c r="D14" s="10">
        <f t="shared" si="1"/>
        <v>2.4185467988805585E-2</v>
      </c>
    </row>
    <row r="15" spans="1:5" x14ac:dyDescent="0.25">
      <c r="A15" s="25" t="s">
        <v>19</v>
      </c>
      <c r="B15" s="1">
        <v>600000</v>
      </c>
      <c r="C15" s="1">
        <f t="shared" si="0"/>
        <v>187.5</v>
      </c>
      <c r="D15" s="10">
        <f t="shared" si="1"/>
        <v>8.2921604533047713E-2</v>
      </c>
    </row>
    <row r="16" spans="1:5" x14ac:dyDescent="0.25">
      <c r="A16" s="6" t="s">
        <v>10</v>
      </c>
      <c r="B16" s="2">
        <f>SUM(B10:B15)</f>
        <v>6350000</v>
      </c>
      <c r="C16" s="2">
        <f t="shared" si="0"/>
        <v>1984.375</v>
      </c>
      <c r="D16" s="10">
        <f t="shared" si="1"/>
        <v>0.87758698130808832</v>
      </c>
    </row>
    <row r="17" spans="1:4" x14ac:dyDescent="0.25">
      <c r="A17" t="s">
        <v>11</v>
      </c>
      <c r="B17" s="1">
        <v>50625</v>
      </c>
      <c r="C17" s="1">
        <f t="shared" si="0"/>
        <v>15.8203125</v>
      </c>
      <c r="D17" s="10">
        <f t="shared" si="1"/>
        <v>6.9965103824759008E-3</v>
      </c>
    </row>
    <row r="18" spans="1:4" x14ac:dyDescent="0.25">
      <c r="A18" t="s">
        <v>12</v>
      </c>
      <c r="B18" s="1">
        <v>100000</v>
      </c>
      <c r="C18" s="1">
        <f t="shared" si="0"/>
        <v>31.25</v>
      </c>
      <c r="D18" s="10">
        <f t="shared" si="1"/>
        <v>1.3820267422174619E-2</v>
      </c>
    </row>
    <row r="19" spans="1:4" x14ac:dyDescent="0.25">
      <c r="A19" s="25" t="s">
        <v>13</v>
      </c>
      <c r="B19" s="1">
        <v>290625</v>
      </c>
      <c r="C19" s="1">
        <f t="shared" si="0"/>
        <v>90.8203125</v>
      </c>
      <c r="D19" s="10">
        <f t="shared" si="1"/>
        <v>4.0165152195694984E-2</v>
      </c>
    </row>
    <row r="20" spans="1:4" x14ac:dyDescent="0.25">
      <c r="A20" s="25" t="s">
        <v>20</v>
      </c>
      <c r="B20" s="1">
        <v>444500</v>
      </c>
      <c r="C20" s="1">
        <f t="shared" si="0"/>
        <v>138.90625</v>
      </c>
      <c r="D20" s="10">
        <f t="shared" si="1"/>
        <v>6.1431088691566181E-2</v>
      </c>
    </row>
    <row r="21" spans="1:4" x14ac:dyDescent="0.25">
      <c r="A21" s="6" t="s">
        <v>21</v>
      </c>
      <c r="B21" s="2">
        <f>SUM(B10:B15)+SUM(B17:B20)</f>
        <v>7235750</v>
      </c>
      <c r="C21" s="2">
        <f t="shared" si="0"/>
        <v>2261.171875</v>
      </c>
      <c r="D21" s="10">
        <f t="shared" si="1"/>
        <v>1</v>
      </c>
    </row>
    <row r="22" spans="1:4" x14ac:dyDescent="0.25">
      <c r="A22" s="13" t="s">
        <v>23</v>
      </c>
      <c r="B22" s="7">
        <f>B21+C7</f>
        <v>7618250</v>
      </c>
      <c r="C22" s="7">
        <f>B22/$C$2</f>
        <v>2380.703125</v>
      </c>
      <c r="D22" s="10">
        <f t="shared" si="1"/>
        <v>1.0528625228898179</v>
      </c>
    </row>
    <row r="24" spans="1:4" x14ac:dyDescent="0.25">
      <c r="A24" t="s">
        <v>132</v>
      </c>
      <c r="B24" s="1">
        <f>SUM(B12:B15)+B19+B20</f>
        <v>4910125</v>
      </c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B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7" zoomScale="135" workbookViewId="0">
      <selection activeCell="B3" sqref="B3"/>
    </sheetView>
  </sheetViews>
  <sheetFormatPr baseColWidth="10" defaultRowHeight="13.2" x14ac:dyDescent="0.25"/>
  <cols>
    <col min="1" max="1" width="59.33203125" bestFit="1" customWidth="1"/>
    <col min="2" max="2" width="9.88671875" customWidth="1"/>
  </cols>
  <sheetData>
    <row r="1" spans="1:3" x14ac:dyDescent="0.25">
      <c r="A1" s="6" t="s">
        <v>46</v>
      </c>
    </row>
    <row r="2" spans="1:3" x14ac:dyDescent="0.25">
      <c r="A2" t="s">
        <v>26</v>
      </c>
      <c r="B2" s="1">
        <v>1920290</v>
      </c>
    </row>
    <row r="3" spans="1:3" x14ac:dyDescent="0.25">
      <c r="A3" t="s">
        <v>27</v>
      </c>
      <c r="B3" s="1">
        <v>0</v>
      </c>
    </row>
    <row r="4" spans="1:3" x14ac:dyDescent="0.25">
      <c r="A4" t="s">
        <v>28</v>
      </c>
      <c r="B4" s="1">
        <v>12500</v>
      </c>
    </row>
    <row r="5" spans="1:3" x14ac:dyDescent="0.25">
      <c r="A5" t="s">
        <v>29</v>
      </c>
      <c r="B5" s="1">
        <v>0</v>
      </c>
    </row>
    <row r="6" spans="1:3" x14ac:dyDescent="0.25">
      <c r="A6" t="s">
        <v>30</v>
      </c>
      <c r="B6" s="1">
        <f>B2*0.035</f>
        <v>67210.150000000009</v>
      </c>
    </row>
    <row r="7" spans="1:3" x14ac:dyDescent="0.25">
      <c r="A7" t="s">
        <v>31</v>
      </c>
      <c r="B7" s="1">
        <v>0</v>
      </c>
    </row>
    <row r="8" spans="1:3" x14ac:dyDescent="0.25">
      <c r="A8" t="s">
        <v>32</v>
      </c>
      <c r="B8" s="1">
        <v>0</v>
      </c>
    </row>
    <row r="9" spans="1:3" x14ac:dyDescent="0.25">
      <c r="A9" t="s">
        <v>33</v>
      </c>
      <c r="B9" s="1">
        <v>0</v>
      </c>
    </row>
    <row r="10" spans="1:3" x14ac:dyDescent="0.25">
      <c r="A10" s="6" t="s">
        <v>34</v>
      </c>
      <c r="B10" s="2">
        <f>SUM(B2:B9)</f>
        <v>2000000.15</v>
      </c>
    </row>
    <row r="13" spans="1:3" x14ac:dyDescent="0.25">
      <c r="A13" s="6" t="s">
        <v>47</v>
      </c>
    </row>
    <row r="14" spans="1:3" x14ac:dyDescent="0.25">
      <c r="A14" s="6" t="s">
        <v>35</v>
      </c>
    </row>
    <row r="15" spans="1:3" x14ac:dyDescent="0.25">
      <c r="A15" t="s">
        <v>36</v>
      </c>
      <c r="B15" s="1">
        <v>80000</v>
      </c>
      <c r="C15" s="1"/>
    </row>
    <row r="16" spans="1:3" x14ac:dyDescent="0.25">
      <c r="A16" t="s">
        <v>37</v>
      </c>
      <c r="B16" s="1">
        <v>10000</v>
      </c>
      <c r="C16" s="1"/>
    </row>
    <row r="17" spans="1:3" x14ac:dyDescent="0.25">
      <c r="A17" t="s">
        <v>38</v>
      </c>
      <c r="B17" s="1">
        <v>0</v>
      </c>
      <c r="C17" s="1"/>
    </row>
    <row r="18" spans="1:3" x14ac:dyDescent="0.25">
      <c r="A18" s="6" t="s">
        <v>48</v>
      </c>
      <c r="B18" s="1"/>
      <c r="C18" s="1"/>
    </row>
    <row r="19" spans="1:3" x14ac:dyDescent="0.25">
      <c r="A19" t="s">
        <v>49</v>
      </c>
      <c r="B19" s="1">
        <v>5000</v>
      </c>
      <c r="C19" s="1"/>
    </row>
    <row r="20" spans="1:3" x14ac:dyDescent="0.25">
      <c r="A20" t="s">
        <v>39</v>
      </c>
      <c r="B20" s="1">
        <v>5000</v>
      </c>
      <c r="C20" s="1"/>
    </row>
    <row r="21" spans="1:3" x14ac:dyDescent="0.25">
      <c r="A21" t="s">
        <v>40</v>
      </c>
      <c r="B21" s="1">
        <v>0</v>
      </c>
      <c r="C21" s="1"/>
    </row>
    <row r="22" spans="1:3" x14ac:dyDescent="0.25">
      <c r="A22" t="s">
        <v>41</v>
      </c>
      <c r="B22" s="1">
        <v>37500</v>
      </c>
      <c r="C22" s="1"/>
    </row>
    <row r="23" spans="1:3" x14ac:dyDescent="0.25">
      <c r="A23" t="s">
        <v>42</v>
      </c>
      <c r="B23" s="1">
        <v>37500</v>
      </c>
      <c r="C23" s="1"/>
    </row>
    <row r="24" spans="1:3" x14ac:dyDescent="0.25">
      <c r="A24" t="s">
        <v>43</v>
      </c>
      <c r="B24" s="1">
        <v>0</v>
      </c>
      <c r="C24" s="1"/>
    </row>
    <row r="25" spans="1:3" x14ac:dyDescent="0.25">
      <c r="A25" t="s">
        <v>44</v>
      </c>
      <c r="B25" s="1">
        <v>0</v>
      </c>
      <c r="C25" s="1"/>
    </row>
    <row r="26" spans="1:3" x14ac:dyDescent="0.25">
      <c r="A26" t="s">
        <v>38</v>
      </c>
      <c r="B26" s="1">
        <v>0</v>
      </c>
      <c r="C26" s="1"/>
    </row>
    <row r="27" spans="1:3" x14ac:dyDescent="0.25">
      <c r="A27" s="6" t="s">
        <v>45</v>
      </c>
      <c r="B27" s="2">
        <v>175000</v>
      </c>
      <c r="C27" s="1"/>
    </row>
    <row r="30" spans="1:3" x14ac:dyDescent="0.25">
      <c r="A30" s="6" t="s">
        <v>19</v>
      </c>
    </row>
    <row r="31" spans="1:3" x14ac:dyDescent="0.25">
      <c r="A31" s="6" t="s">
        <v>50</v>
      </c>
    </row>
    <row r="32" spans="1:3" x14ac:dyDescent="0.25">
      <c r="A32" t="s">
        <v>51</v>
      </c>
      <c r="C32" s="1">
        <v>0</v>
      </c>
    </row>
    <row r="33" spans="1:3" x14ac:dyDescent="0.25">
      <c r="A33" t="s">
        <v>52</v>
      </c>
      <c r="C33" s="1">
        <v>27500</v>
      </c>
    </row>
    <row r="34" spans="1:3" x14ac:dyDescent="0.25">
      <c r="A34" s="6" t="s">
        <v>53</v>
      </c>
      <c r="B34" s="6"/>
      <c r="C34" s="1"/>
    </row>
    <row r="35" spans="1:3" x14ac:dyDescent="0.25">
      <c r="A35" t="s">
        <v>54</v>
      </c>
      <c r="C35" s="1">
        <v>340000</v>
      </c>
    </row>
    <row r="36" spans="1:3" x14ac:dyDescent="0.25">
      <c r="A36" t="s">
        <v>55</v>
      </c>
      <c r="C36" s="1">
        <v>153000</v>
      </c>
    </row>
    <row r="37" spans="1:3" x14ac:dyDescent="0.25">
      <c r="A37" t="s">
        <v>56</v>
      </c>
      <c r="C37" s="1">
        <v>7500</v>
      </c>
    </row>
    <row r="38" spans="1:3" x14ac:dyDescent="0.25">
      <c r="A38" t="s">
        <v>57</v>
      </c>
      <c r="C38" s="1">
        <v>7500</v>
      </c>
    </row>
    <row r="39" spans="1:3" x14ac:dyDescent="0.25">
      <c r="A39" s="6" t="s">
        <v>58</v>
      </c>
      <c r="B39" s="6"/>
      <c r="C39" s="1"/>
    </row>
    <row r="40" spans="1:3" x14ac:dyDescent="0.25">
      <c r="A40" t="s">
        <v>25</v>
      </c>
      <c r="C40" s="1">
        <v>15000</v>
      </c>
    </row>
    <row r="41" spans="1:3" x14ac:dyDescent="0.25">
      <c r="A41" t="s">
        <v>59</v>
      </c>
      <c r="B41" s="1">
        <v>10000</v>
      </c>
      <c r="C41" s="1"/>
    </row>
    <row r="42" spans="1:3" x14ac:dyDescent="0.25">
      <c r="A42" t="s">
        <v>60</v>
      </c>
      <c r="B42">
        <v>0</v>
      </c>
      <c r="C42" s="1"/>
    </row>
    <row r="43" spans="1:3" x14ac:dyDescent="0.25">
      <c r="A43" t="s">
        <v>61</v>
      </c>
      <c r="B43" s="1">
        <v>5000</v>
      </c>
      <c r="C43" s="1"/>
    </row>
    <row r="44" spans="1:3" x14ac:dyDescent="0.25">
      <c r="A44" t="s">
        <v>62</v>
      </c>
      <c r="C44" s="1">
        <v>32000</v>
      </c>
    </row>
    <row r="45" spans="1:3" x14ac:dyDescent="0.25">
      <c r="A45" t="s">
        <v>63</v>
      </c>
      <c r="B45" s="1">
        <v>25000</v>
      </c>
      <c r="C45" s="1"/>
    </row>
    <row r="46" spans="1:3" x14ac:dyDescent="0.25">
      <c r="A46" t="s">
        <v>64</v>
      </c>
      <c r="B46" s="1">
        <v>5000</v>
      </c>
      <c r="C46" s="1"/>
    </row>
    <row r="47" spans="1:3" x14ac:dyDescent="0.25">
      <c r="A47" t="s">
        <v>65</v>
      </c>
      <c r="B47" s="1">
        <v>2000</v>
      </c>
      <c r="C47" s="1"/>
    </row>
    <row r="48" spans="1:3" x14ac:dyDescent="0.25">
      <c r="A48" t="s">
        <v>66</v>
      </c>
      <c r="C48" s="1">
        <v>7500</v>
      </c>
    </row>
    <row r="49" spans="1:3" x14ac:dyDescent="0.25">
      <c r="A49" t="s">
        <v>68</v>
      </c>
      <c r="C49" s="1">
        <v>10000</v>
      </c>
    </row>
    <row r="50" spans="1:3" x14ac:dyDescent="0.25">
      <c r="A50" t="s">
        <v>69</v>
      </c>
      <c r="B50" s="1">
        <v>5000</v>
      </c>
      <c r="C50" s="1"/>
    </row>
    <row r="51" spans="1:3" x14ac:dyDescent="0.25">
      <c r="A51" t="s">
        <v>67</v>
      </c>
      <c r="B51" s="1">
        <v>5000</v>
      </c>
      <c r="C51" s="1"/>
    </row>
    <row r="52" spans="1:3" x14ac:dyDescent="0.25">
      <c r="A52" s="6" t="s">
        <v>45</v>
      </c>
      <c r="B52" s="6"/>
      <c r="C52" s="1">
        <f>SUM(C32:C51)</f>
        <v>600000</v>
      </c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topLeftCell="A10" zoomScale="120" workbookViewId="0">
      <selection activeCell="D18" sqref="D18"/>
    </sheetView>
  </sheetViews>
  <sheetFormatPr baseColWidth="10" defaultRowHeight="13.2" x14ac:dyDescent="0.25"/>
  <cols>
    <col min="2" max="2" width="3.44140625" bestFit="1" customWidth="1"/>
    <col min="3" max="3" width="44.5546875" bestFit="1" customWidth="1"/>
    <col min="4" max="4" width="22.88671875" bestFit="1" customWidth="1"/>
    <col min="5" max="5" width="8" bestFit="1" customWidth="1"/>
  </cols>
  <sheetData>
    <row r="2" spans="2:4" x14ac:dyDescent="0.25">
      <c r="B2" s="6" t="s">
        <v>70</v>
      </c>
      <c r="C2" s="6" t="s">
        <v>71</v>
      </c>
      <c r="D2" s="6"/>
    </row>
    <row r="3" spans="2:4" x14ac:dyDescent="0.25">
      <c r="C3" t="s">
        <v>72</v>
      </c>
      <c r="D3" s="1">
        <v>3200</v>
      </c>
    </row>
    <row r="4" spans="2:4" x14ac:dyDescent="0.25">
      <c r="C4" t="s">
        <v>104</v>
      </c>
      <c r="D4" s="1">
        <v>45</v>
      </c>
    </row>
    <row r="5" spans="2:4" x14ac:dyDescent="0.25">
      <c r="C5" t="s">
        <v>73</v>
      </c>
      <c r="D5" s="32">
        <v>2</v>
      </c>
    </row>
    <row r="6" spans="2:4" x14ac:dyDescent="0.25">
      <c r="C6" t="s">
        <v>105</v>
      </c>
      <c r="D6" s="31">
        <v>279.35000000000002</v>
      </c>
    </row>
    <row r="7" spans="2:4" x14ac:dyDescent="0.25">
      <c r="C7" t="s">
        <v>106</v>
      </c>
      <c r="D7" s="31">
        <v>8.6199999999999992</v>
      </c>
    </row>
    <row r="8" spans="2:4" x14ac:dyDescent="0.25">
      <c r="C8" t="s">
        <v>123</v>
      </c>
      <c r="D8" s="32">
        <v>2</v>
      </c>
    </row>
    <row r="9" spans="2:4" x14ac:dyDescent="0.25">
      <c r="C9" t="s">
        <v>74</v>
      </c>
      <c r="D9" s="1">
        <f>iWoHK!$B$21</f>
        <v>7235750</v>
      </c>
    </row>
    <row r="10" spans="2:4" x14ac:dyDescent="0.25">
      <c r="C10" t="s">
        <v>135</v>
      </c>
      <c r="D10" s="1">
        <v>20</v>
      </c>
    </row>
    <row r="11" spans="2:4" x14ac:dyDescent="0.25">
      <c r="B11" s="6" t="s">
        <v>75</v>
      </c>
      <c r="C11" s="6" t="s">
        <v>76</v>
      </c>
      <c r="D11" s="6"/>
    </row>
    <row r="12" spans="2:4" x14ac:dyDescent="0.25">
      <c r="C12" t="s">
        <v>77</v>
      </c>
      <c r="D12" s="1">
        <v>1808938</v>
      </c>
    </row>
    <row r="13" spans="2:4" x14ac:dyDescent="0.25">
      <c r="C13" t="s">
        <v>78</v>
      </c>
      <c r="D13" s="1">
        <v>5426812</v>
      </c>
    </row>
    <row r="14" spans="2:4" x14ac:dyDescent="0.25">
      <c r="C14" t="s">
        <v>74</v>
      </c>
      <c r="D14" s="1">
        <f>D12+D13</f>
        <v>7235750</v>
      </c>
    </row>
    <row r="15" spans="2:4" x14ac:dyDescent="0.25">
      <c r="B15" s="6" t="s">
        <v>79</v>
      </c>
      <c r="C15" s="6" t="s">
        <v>122</v>
      </c>
      <c r="D15" s="6"/>
    </row>
    <row r="16" spans="2:4" x14ac:dyDescent="0.25">
      <c r="B16" t="s">
        <v>80</v>
      </c>
      <c r="C16" t="s">
        <v>81</v>
      </c>
    </row>
    <row r="17" spans="2:4" x14ac:dyDescent="0.25">
      <c r="C17" t="s">
        <v>82</v>
      </c>
      <c r="D17" s="2">
        <f>iWoDarl!$C$6</f>
        <v>331886.02197663998</v>
      </c>
    </row>
    <row r="18" spans="2:4" x14ac:dyDescent="0.25">
      <c r="B18" t="s">
        <v>83</v>
      </c>
      <c r="C18" t="s">
        <v>84</v>
      </c>
      <c r="D18" s="2">
        <f>SUM(D19:D23)</f>
        <v>48986.75</v>
      </c>
    </row>
    <row r="19" spans="2:4" x14ac:dyDescent="0.25">
      <c r="C19" t="s">
        <v>107</v>
      </c>
      <c r="D19" s="15">
        <f>D6*D4</f>
        <v>12570.750000000002</v>
      </c>
    </row>
    <row r="20" spans="2:4" x14ac:dyDescent="0.25">
      <c r="C20" t="s">
        <v>108</v>
      </c>
      <c r="D20" s="15">
        <f>D7*D3</f>
        <v>27583.999999999996</v>
      </c>
    </row>
    <row r="21" spans="2:4" x14ac:dyDescent="0.25">
      <c r="C21" t="s">
        <v>121</v>
      </c>
      <c r="D21" s="15">
        <v>0</v>
      </c>
    </row>
    <row r="22" spans="2:4" x14ac:dyDescent="0.25">
      <c r="C22" t="s">
        <v>92</v>
      </c>
      <c r="D22" s="15">
        <v>0</v>
      </c>
    </row>
    <row r="23" spans="2:4" x14ac:dyDescent="0.25">
      <c r="C23" t="s">
        <v>109</v>
      </c>
      <c r="D23" s="15">
        <f>D24*D8/100</f>
        <v>8832</v>
      </c>
    </row>
    <row r="24" spans="2:4" x14ac:dyDescent="0.25">
      <c r="B24" s="6" t="s">
        <v>85</v>
      </c>
      <c r="C24" s="6" t="s">
        <v>86</v>
      </c>
      <c r="D24" s="2">
        <f>D25*12*D3</f>
        <v>441600</v>
      </c>
    </row>
    <row r="25" spans="2:4" x14ac:dyDescent="0.25">
      <c r="C25" t="s">
        <v>87</v>
      </c>
      <c r="D25" s="4">
        <v>11.5</v>
      </c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16" zoomScale="120" workbookViewId="0">
      <selection activeCell="N45" sqref="N45"/>
    </sheetView>
  </sheetViews>
  <sheetFormatPr baseColWidth="10" defaultRowHeight="13.2" x14ac:dyDescent="0.25"/>
  <cols>
    <col min="1" max="1" width="3" customWidth="1"/>
    <col min="2" max="2" width="9.77734375" customWidth="1"/>
    <col min="3" max="4" width="7.5546875" customWidth="1"/>
    <col min="5" max="5" width="10.109375" customWidth="1"/>
    <col min="6" max="6" width="7.5546875" customWidth="1"/>
    <col min="7" max="7" width="6.5546875" customWidth="1"/>
    <col min="8" max="8" width="8" customWidth="1"/>
    <col min="9" max="9" width="6.77734375" customWidth="1"/>
    <col min="10" max="10" width="7.5546875" customWidth="1"/>
    <col min="11" max="11" width="6.5546875" customWidth="1"/>
    <col min="12" max="13" width="9.77734375" customWidth="1"/>
  </cols>
  <sheetData>
    <row r="1" spans="1:14" x14ac:dyDescent="0.25">
      <c r="A1" t="s">
        <v>143</v>
      </c>
      <c r="B1" s="16">
        <v>0.03</v>
      </c>
    </row>
    <row r="2" spans="1:14" x14ac:dyDescent="0.25">
      <c r="A2" t="s">
        <v>117</v>
      </c>
      <c r="B2" s="16">
        <v>1.4999999999999999E-2</v>
      </c>
    </row>
    <row r="3" spans="1:14" x14ac:dyDescent="0.25">
      <c r="A3" t="s">
        <v>118</v>
      </c>
      <c r="B3" s="16">
        <v>1.2E-2</v>
      </c>
    </row>
    <row r="4" spans="1:14" x14ac:dyDescent="0.25">
      <c r="A4" t="s">
        <v>119</v>
      </c>
      <c r="B4" s="16">
        <v>8.9999999999999993E-3</v>
      </c>
    </row>
    <row r="5" spans="1:14" x14ac:dyDescent="0.25">
      <c r="A5" t="s">
        <v>120</v>
      </c>
      <c r="B5" s="16">
        <v>6.0000000000000001E-3</v>
      </c>
    </row>
    <row r="6" spans="1:14" x14ac:dyDescent="0.25">
      <c r="A6" t="s">
        <v>96</v>
      </c>
      <c r="B6" s="16">
        <v>1.4999999999999999E-2</v>
      </c>
    </row>
    <row r="7" spans="1:14" x14ac:dyDescent="0.25">
      <c r="A7" t="s">
        <v>97</v>
      </c>
      <c r="B7" s="16">
        <v>2.5000000000000001E-2</v>
      </c>
    </row>
    <row r="8" spans="1:14" x14ac:dyDescent="0.25">
      <c r="A8" t="s">
        <v>98</v>
      </c>
      <c r="B8" s="16">
        <v>0</v>
      </c>
    </row>
    <row r="9" spans="1:14" x14ac:dyDescent="0.25">
      <c r="A9" t="s">
        <v>95</v>
      </c>
      <c r="B9" s="16">
        <f>iWoDat!$D$8/100</f>
        <v>0.02</v>
      </c>
    </row>
    <row r="10" spans="1:14" x14ac:dyDescent="0.25">
      <c r="A10" t="s">
        <v>100</v>
      </c>
      <c r="B10" s="14">
        <f>J16/E15</f>
        <v>5.4260201084890991E-2</v>
      </c>
    </row>
    <row r="11" spans="1:14" x14ac:dyDescent="0.25">
      <c r="A11" t="s">
        <v>101</v>
      </c>
      <c r="B11" s="14">
        <v>7.4999999999999997E-2</v>
      </c>
    </row>
    <row r="12" spans="1:14" x14ac:dyDescent="0.25">
      <c r="A12" t="s">
        <v>115</v>
      </c>
      <c r="B12" s="14">
        <v>-7.73772E-3</v>
      </c>
      <c r="C12" s="1"/>
      <c r="D12" s="1"/>
      <c r="E12" s="1"/>
    </row>
    <row r="13" spans="1:14" x14ac:dyDescent="0.25">
      <c r="C13" s="1"/>
      <c r="D13" s="1"/>
      <c r="E13" s="1"/>
    </row>
    <row r="14" spans="1:14" ht="15.6" x14ac:dyDescent="0.35">
      <c r="A14" s="12" t="s">
        <v>88</v>
      </c>
      <c r="B14" s="12" t="s">
        <v>99</v>
      </c>
      <c r="C14" s="12" t="s">
        <v>93</v>
      </c>
      <c r="D14" s="12" t="s">
        <v>115</v>
      </c>
      <c r="E14" s="12" t="s">
        <v>116</v>
      </c>
      <c r="F14" s="12" t="s">
        <v>94</v>
      </c>
      <c r="G14" s="12" t="s">
        <v>96</v>
      </c>
      <c r="H14" s="12" t="s">
        <v>103</v>
      </c>
      <c r="I14" s="12" t="s">
        <v>95</v>
      </c>
      <c r="J14" s="12" t="s">
        <v>89</v>
      </c>
      <c r="K14" s="12" t="s">
        <v>90</v>
      </c>
      <c r="L14" s="12" t="s">
        <v>91</v>
      </c>
      <c r="M14" s="12" t="s">
        <v>0</v>
      </c>
      <c r="N14" s="12"/>
    </row>
    <row r="15" spans="1:14" x14ac:dyDescent="0.25">
      <c r="A15" s="3">
        <v>0</v>
      </c>
      <c r="B15" s="9">
        <f>iWoDat!$D$12*(-1)</f>
        <v>-1808938</v>
      </c>
      <c r="C15" s="9"/>
      <c r="D15" s="9"/>
      <c r="E15" s="9">
        <f>iWoDat!$D$9</f>
        <v>7235750</v>
      </c>
      <c r="F15" s="9"/>
      <c r="G15" s="9"/>
      <c r="H15" s="9"/>
      <c r="I15" s="9"/>
      <c r="J15" s="9">
        <v>0</v>
      </c>
      <c r="K15" s="19">
        <f t="shared" ref="K15:K35" si="0">1/(1+$B$1)^A15</f>
        <v>1</v>
      </c>
      <c r="L15" s="9">
        <f>-E15</f>
        <v>-7235750</v>
      </c>
      <c r="M15" s="9">
        <f>-E15</f>
        <v>-7235750</v>
      </c>
      <c r="N15" s="1"/>
    </row>
    <row r="16" spans="1:14" x14ac:dyDescent="0.25">
      <c r="A16" s="3">
        <v>1</v>
      </c>
      <c r="B16" s="8"/>
      <c r="C16" s="35">
        <f>iWoDat!$D$24</f>
        <v>441600</v>
      </c>
      <c r="D16" s="9">
        <f>E16-E15</f>
        <v>-55988.207489999942</v>
      </c>
      <c r="E16" s="9">
        <f t="shared" ref="E16:E34" si="1">E15*(1+$B$12)</f>
        <v>7179761.7925100001</v>
      </c>
      <c r="F16" s="33">
        <f>iWoDat!$D$17</f>
        <v>331886.02197663998</v>
      </c>
      <c r="G16" s="37">
        <f>iWoDat!$D$19</f>
        <v>12570.750000000002</v>
      </c>
      <c r="H16" s="37">
        <f>iWoDat!$D$20</f>
        <v>27583.999999999996</v>
      </c>
      <c r="I16" s="37">
        <f t="shared" ref="I16:I35" si="2">$B$9*C16</f>
        <v>8832</v>
      </c>
      <c r="J16" s="9">
        <f>C16-G16-H16-I16</f>
        <v>392613.25</v>
      </c>
      <c r="K16" s="19">
        <f t="shared" si="0"/>
        <v>0.970873786407767</v>
      </c>
      <c r="L16" s="9">
        <f t="shared" ref="L16:L34" si="3">J16*K16</f>
        <v>381177.91262135922</v>
      </c>
      <c r="M16" s="9">
        <f t="shared" ref="M16:M34" si="4">J16</f>
        <v>392613.25</v>
      </c>
      <c r="N16" s="1"/>
    </row>
    <row r="17" spans="1:15" x14ac:dyDescent="0.25">
      <c r="A17" s="3">
        <v>2</v>
      </c>
      <c r="B17" s="8"/>
      <c r="C17" s="35">
        <f>C16*(1+$B$2)</f>
        <v>448223.99999999994</v>
      </c>
      <c r="D17" s="9">
        <f t="shared" ref="D17:D35" si="5">E17-E16</f>
        <v>-55554.98641713988</v>
      </c>
      <c r="E17" s="9">
        <f t="shared" si="1"/>
        <v>7124206.8060928602</v>
      </c>
      <c r="F17" s="33">
        <f>iWoDat!$D$17</f>
        <v>331886.02197663998</v>
      </c>
      <c r="G17" s="37">
        <f>G16*(1+$B$6)</f>
        <v>12759.311250000001</v>
      </c>
      <c r="H17" s="37">
        <f>H16*(1+$B$7)</f>
        <v>28273.599999999995</v>
      </c>
      <c r="I17" s="37">
        <f t="shared" si="2"/>
        <v>8964.48</v>
      </c>
      <c r="J17" s="9">
        <f>C17-G17-H17-I17</f>
        <v>398226.60874999996</v>
      </c>
      <c r="K17" s="19">
        <f t="shared" si="0"/>
        <v>0.94259590913375435</v>
      </c>
      <c r="L17" s="9">
        <f t="shared" si="3"/>
        <v>375366.77231595811</v>
      </c>
      <c r="M17" s="9">
        <f t="shared" si="4"/>
        <v>398226.60874999996</v>
      </c>
      <c r="N17" s="1"/>
      <c r="O17" s="1"/>
    </row>
    <row r="18" spans="1:15" x14ac:dyDescent="0.25">
      <c r="A18" s="3">
        <v>3</v>
      </c>
      <c r="B18" s="8"/>
      <c r="C18" s="35">
        <f>C17*(1+$B$2)</f>
        <v>454947.35999999987</v>
      </c>
      <c r="D18" s="9">
        <f t="shared" si="5"/>
        <v>-55125.11748764012</v>
      </c>
      <c r="E18" s="9">
        <f t="shared" si="1"/>
        <v>7069081.6886052201</v>
      </c>
      <c r="F18" s="33">
        <f>iWoDat!$D$17</f>
        <v>331886.02197663998</v>
      </c>
      <c r="G18" s="37">
        <f t="shared" ref="G18:G35" si="6">G17*(1+$B$6)</f>
        <v>12950.700918749999</v>
      </c>
      <c r="H18" s="37">
        <f t="shared" ref="H18:H35" si="7">H17*(1+$B$7)</f>
        <v>28980.439999999991</v>
      </c>
      <c r="I18" s="37">
        <f t="shared" si="2"/>
        <v>9098.9471999999969</v>
      </c>
      <c r="J18" s="9">
        <f>C18-G18-H18-I18</f>
        <v>403917.27188124985</v>
      </c>
      <c r="K18" s="19">
        <f t="shared" si="0"/>
        <v>0.91514165935315961</v>
      </c>
      <c r="L18" s="9">
        <f t="shared" si="3"/>
        <v>369641.52243080828</v>
      </c>
      <c r="M18" s="9">
        <f t="shared" si="4"/>
        <v>403917.27188124985</v>
      </c>
      <c r="N18" s="1"/>
    </row>
    <row r="19" spans="1:15" x14ac:dyDescent="0.25">
      <c r="A19" s="3">
        <v>4</v>
      </c>
      <c r="B19" s="8"/>
      <c r="C19" s="35">
        <f>C18*(1+$B$2)</f>
        <v>461771.57039999985</v>
      </c>
      <c r="D19" s="9">
        <f t="shared" si="5"/>
        <v>-54698.574763554148</v>
      </c>
      <c r="E19" s="9">
        <f t="shared" si="1"/>
        <v>7014383.1138416659</v>
      </c>
      <c r="F19" s="33">
        <f>iWoDat!$D$17</f>
        <v>331886.02197663998</v>
      </c>
      <c r="G19" s="37">
        <f t="shared" si="6"/>
        <v>13144.961432531247</v>
      </c>
      <c r="H19" s="37">
        <f t="shared" si="7"/>
        <v>29704.95099999999</v>
      </c>
      <c r="I19" s="37">
        <f t="shared" si="2"/>
        <v>9235.4314079999967</v>
      </c>
      <c r="J19" s="9">
        <f t="shared" ref="J19:J29" si="8">C19-G19-H19-I19</f>
        <v>409686.2265594686</v>
      </c>
      <c r="K19" s="19">
        <f t="shared" si="0"/>
        <v>0.888487047915689</v>
      </c>
      <c r="L19" s="9">
        <f t="shared" si="3"/>
        <v>364000.90600754041</v>
      </c>
      <c r="M19" s="9">
        <f t="shared" si="4"/>
        <v>409686.2265594686</v>
      </c>
      <c r="N19" s="1"/>
    </row>
    <row r="20" spans="1:15" x14ac:dyDescent="0.25">
      <c r="A20" s="3">
        <v>5</v>
      </c>
      <c r="B20" s="8"/>
      <c r="C20" s="36">
        <f>C19*(1+$B$2)</f>
        <v>468698.14395599981</v>
      </c>
      <c r="D20" s="9">
        <f t="shared" si="5"/>
        <v>-54275.332507634535</v>
      </c>
      <c r="E20" s="9">
        <f t="shared" si="1"/>
        <v>6960107.7813340314</v>
      </c>
      <c r="F20" s="33">
        <f>iWoDat!$D$17</f>
        <v>331886.02197663998</v>
      </c>
      <c r="G20" s="37">
        <f t="shared" si="6"/>
        <v>13342.135854019214</v>
      </c>
      <c r="H20" s="37">
        <f t="shared" si="7"/>
        <v>30447.574774999986</v>
      </c>
      <c r="I20" s="37">
        <f t="shared" si="2"/>
        <v>9373.9628791199957</v>
      </c>
      <c r="J20" s="9">
        <f t="shared" si="8"/>
        <v>415534.4704478606</v>
      </c>
      <c r="K20" s="19">
        <f t="shared" si="0"/>
        <v>0.86260878438416411</v>
      </c>
      <c r="L20" s="9">
        <f t="shared" si="3"/>
        <v>358443.68442274642</v>
      </c>
      <c r="M20" s="9">
        <f t="shared" si="4"/>
        <v>415534.4704478606</v>
      </c>
      <c r="N20" s="1"/>
    </row>
    <row r="21" spans="1:15" x14ac:dyDescent="0.25">
      <c r="A21" s="3">
        <v>6</v>
      </c>
      <c r="B21" s="8"/>
      <c r="C21" s="35">
        <f>C20*(1+$B$3)</f>
        <v>474322.5216834718</v>
      </c>
      <c r="D21" s="9">
        <f t="shared" si="5"/>
        <v>-53855.365181783214</v>
      </c>
      <c r="E21" s="9">
        <f t="shared" si="1"/>
        <v>6906252.4161522482</v>
      </c>
      <c r="F21" s="33">
        <f>iWoDat!$D$17</f>
        <v>331886.02197663998</v>
      </c>
      <c r="G21" s="37">
        <f t="shared" si="6"/>
        <v>13542.267891829501</v>
      </c>
      <c r="H21" s="37">
        <f t="shared" si="7"/>
        <v>31208.764144374982</v>
      </c>
      <c r="I21" s="37">
        <f t="shared" si="2"/>
        <v>9486.4504336694354</v>
      </c>
      <c r="J21" s="9">
        <f t="shared" si="8"/>
        <v>420085.03921359789</v>
      </c>
      <c r="K21" s="19">
        <f t="shared" si="0"/>
        <v>0.83748425668365445</v>
      </c>
      <c r="L21" s="9">
        <f t="shared" si="3"/>
        <v>351814.60680972389</v>
      </c>
      <c r="M21" s="9">
        <f t="shared" si="4"/>
        <v>420085.03921359789</v>
      </c>
      <c r="N21" s="1"/>
    </row>
    <row r="22" spans="1:15" x14ac:dyDescent="0.25">
      <c r="A22" s="3">
        <v>7</v>
      </c>
      <c r="B22" s="8"/>
      <c r="C22" s="35">
        <f>C21*(1+$B$3)</f>
        <v>480014.39194367349</v>
      </c>
      <c r="D22" s="9">
        <f t="shared" si="5"/>
        <v>-53438.64744550921</v>
      </c>
      <c r="E22" s="9">
        <f t="shared" si="1"/>
        <v>6852813.7687067389</v>
      </c>
      <c r="F22" s="33">
        <f>iWoDat!$D$17</f>
        <v>331886.02197663998</v>
      </c>
      <c r="G22" s="37">
        <f t="shared" si="6"/>
        <v>13745.401910206941</v>
      </c>
      <c r="H22" s="37">
        <f t="shared" si="7"/>
        <v>31988.983247984354</v>
      </c>
      <c r="I22" s="37">
        <f t="shared" si="2"/>
        <v>9600.2878388734698</v>
      </c>
      <c r="J22" s="9">
        <f t="shared" si="8"/>
        <v>424679.71894660871</v>
      </c>
      <c r="K22" s="19">
        <f t="shared" si="0"/>
        <v>0.81309151134335378</v>
      </c>
      <c r="L22" s="9">
        <f t="shared" si="3"/>
        <v>345303.47451516881</v>
      </c>
      <c r="M22" s="9">
        <f t="shared" si="4"/>
        <v>424679.71894660871</v>
      </c>
      <c r="N22" s="1"/>
    </row>
    <row r="23" spans="1:15" x14ac:dyDescent="0.25">
      <c r="A23" s="3">
        <v>8</v>
      </c>
      <c r="B23" s="8"/>
      <c r="C23" s="35">
        <f>C22*(1+$B$3)</f>
        <v>485774.56464699755</v>
      </c>
      <c r="D23" s="9">
        <f t="shared" si="5"/>
        <v>-53025.154154397547</v>
      </c>
      <c r="E23" s="9">
        <f t="shared" si="1"/>
        <v>6799788.6145523414</v>
      </c>
      <c r="F23" s="33">
        <f>iWoDat!$D$17</f>
        <v>331886.02197663998</v>
      </c>
      <c r="G23" s="37">
        <f t="shared" si="6"/>
        <v>13951.582938860045</v>
      </c>
      <c r="H23" s="37">
        <f t="shared" si="7"/>
        <v>32788.707829183957</v>
      </c>
      <c r="I23" s="37">
        <f t="shared" si="2"/>
        <v>9715.4912929399507</v>
      </c>
      <c r="J23" s="9">
        <f t="shared" si="8"/>
        <v>429318.78258601361</v>
      </c>
      <c r="K23" s="19">
        <f t="shared" si="0"/>
        <v>0.78940923431393573</v>
      </c>
      <c r="L23" s="9">
        <f t="shared" si="3"/>
        <v>338908.21143781603</v>
      </c>
      <c r="M23" s="9">
        <f t="shared" si="4"/>
        <v>429318.78258601361</v>
      </c>
      <c r="N23" s="1"/>
    </row>
    <row r="24" spans="1:15" x14ac:dyDescent="0.25">
      <c r="A24" s="3">
        <v>9</v>
      </c>
      <c r="B24" s="8"/>
      <c r="C24" s="35">
        <f>C23*(1+$B$3)</f>
        <v>491603.85942276154</v>
      </c>
      <c r="D24" s="9">
        <f t="shared" si="5"/>
        <v>-52614.860358593985</v>
      </c>
      <c r="E24" s="9">
        <f t="shared" si="1"/>
        <v>6747173.7541937474</v>
      </c>
      <c r="F24" s="33">
        <f>iWoDat!$D$17</f>
        <v>331886.02197663998</v>
      </c>
      <c r="G24" s="37">
        <f t="shared" si="6"/>
        <v>14160.856682942944</v>
      </c>
      <c r="H24" s="37">
        <f t="shared" si="7"/>
        <v>33608.425524913553</v>
      </c>
      <c r="I24" s="37">
        <f t="shared" si="2"/>
        <v>9832.0771884552305</v>
      </c>
      <c r="J24" s="9">
        <f t="shared" si="8"/>
        <v>434002.50002644985</v>
      </c>
      <c r="K24" s="19">
        <f t="shared" si="0"/>
        <v>0.76641673234362695</v>
      </c>
      <c r="L24" s="9">
        <f t="shared" si="3"/>
        <v>332626.77789923659</v>
      </c>
      <c r="M24" s="9">
        <f t="shared" si="4"/>
        <v>434002.50002644985</v>
      </c>
      <c r="N24" s="1"/>
    </row>
    <row r="25" spans="1:15" x14ac:dyDescent="0.25">
      <c r="A25" s="3">
        <v>10</v>
      </c>
      <c r="B25" s="8"/>
      <c r="C25" s="36">
        <f>C24*(1+$B$3)</f>
        <v>497503.10573583469</v>
      </c>
      <c r="D25" s="9">
        <f t="shared" si="5"/>
        <v>-52207.741301300004</v>
      </c>
      <c r="E25" s="9">
        <f t="shared" si="1"/>
        <v>6694966.0128924474</v>
      </c>
      <c r="F25" s="33">
        <f>iWoDat!$D$17</f>
        <v>331886.02197663998</v>
      </c>
      <c r="G25" s="37">
        <f t="shared" si="6"/>
        <v>14373.269533187087</v>
      </c>
      <c r="H25" s="37">
        <f t="shared" si="7"/>
        <v>34448.63616303639</v>
      </c>
      <c r="I25" s="37">
        <f t="shared" si="2"/>
        <v>9950.0621147166949</v>
      </c>
      <c r="J25" s="9">
        <f t="shared" si="8"/>
        <v>438731.13792489452</v>
      </c>
      <c r="K25" s="19">
        <f t="shared" si="0"/>
        <v>0.74409391489672516</v>
      </c>
      <c r="L25" s="9">
        <f t="shared" si="3"/>
        <v>326457.17000562983</v>
      </c>
      <c r="M25" s="9">
        <f t="shared" si="4"/>
        <v>438731.13792489452</v>
      </c>
      <c r="N25" s="1"/>
    </row>
    <row r="26" spans="1:15" x14ac:dyDescent="0.25">
      <c r="A26" s="3">
        <v>11</v>
      </c>
      <c r="B26" s="8"/>
      <c r="C26" s="35">
        <f>C25*(1+$B$4)</f>
        <v>501980.63368745713</v>
      </c>
      <c r="D26" s="9">
        <f t="shared" si="5"/>
        <v>-51803.772417278029</v>
      </c>
      <c r="E26" s="9">
        <f t="shared" si="1"/>
        <v>6643162.2404751694</v>
      </c>
      <c r="F26" s="33">
        <f>iWoDat!$D$17</f>
        <v>331886.02197663998</v>
      </c>
      <c r="G26" s="37">
        <f t="shared" si="6"/>
        <v>14588.868576184892</v>
      </c>
      <c r="H26" s="37">
        <f t="shared" si="7"/>
        <v>35309.852067112297</v>
      </c>
      <c r="I26" s="37">
        <f t="shared" si="2"/>
        <v>10039.612673749143</v>
      </c>
      <c r="J26" s="9">
        <f t="shared" si="8"/>
        <v>442042.30037041078</v>
      </c>
      <c r="K26" s="19">
        <f t="shared" si="0"/>
        <v>0.72242127659876232</v>
      </c>
      <c r="L26" s="9">
        <f t="shared" si="3"/>
        <v>319340.76294424571</v>
      </c>
      <c r="M26" s="9">
        <f t="shared" si="4"/>
        <v>442042.30037041078</v>
      </c>
      <c r="N26" s="1"/>
    </row>
    <row r="27" spans="1:15" x14ac:dyDescent="0.25">
      <c r="A27" s="3">
        <v>12</v>
      </c>
      <c r="B27" s="8"/>
      <c r="C27" s="35">
        <f>C26*(1+$B$4)</f>
        <v>506498.45939064422</v>
      </c>
      <c r="D27" s="9">
        <f t="shared" si="5"/>
        <v>-51402.929331368767</v>
      </c>
      <c r="E27" s="9">
        <f t="shared" si="1"/>
        <v>6591759.3111438006</v>
      </c>
      <c r="F27" s="33">
        <f>iWoDat!$D$17</f>
        <v>331886.02197663998</v>
      </c>
      <c r="G27" s="37">
        <f t="shared" si="6"/>
        <v>14807.701604827664</v>
      </c>
      <c r="H27" s="37">
        <f t="shared" si="7"/>
        <v>36192.598368790103</v>
      </c>
      <c r="I27" s="37">
        <f t="shared" si="2"/>
        <v>10129.969187812885</v>
      </c>
      <c r="J27" s="9">
        <f t="shared" si="8"/>
        <v>445368.19022921356</v>
      </c>
      <c r="K27" s="19">
        <f t="shared" si="0"/>
        <v>0.70137988019297326</v>
      </c>
      <c r="L27" s="9">
        <f t="shared" si="3"/>
        <v>312372.28790472716</v>
      </c>
      <c r="M27" s="9">
        <f t="shared" si="4"/>
        <v>445368.19022921356</v>
      </c>
      <c r="N27" s="1"/>
    </row>
    <row r="28" spans="1:15" x14ac:dyDescent="0.25">
      <c r="A28" s="3">
        <v>13</v>
      </c>
      <c r="B28" s="8"/>
      <c r="C28" s="35">
        <f>C27*(1+$B$4)</f>
        <v>511056.94552515994</v>
      </c>
      <c r="D28" s="9">
        <f t="shared" si="5"/>
        <v>-51005.18785702344</v>
      </c>
      <c r="E28" s="9">
        <f t="shared" si="1"/>
        <v>6540754.1232867772</v>
      </c>
      <c r="F28" s="33">
        <f>iWoDat!$D$17</f>
        <v>331886.02197663998</v>
      </c>
      <c r="G28" s="37">
        <f t="shared" si="6"/>
        <v>15029.817128900077</v>
      </c>
      <c r="H28" s="37">
        <f t="shared" si="7"/>
        <v>37097.413328009854</v>
      </c>
      <c r="I28" s="37">
        <f t="shared" si="2"/>
        <v>10221.138910503199</v>
      </c>
      <c r="J28" s="9">
        <f t="shared" si="8"/>
        <v>448708.57615774684</v>
      </c>
      <c r="K28" s="19">
        <f t="shared" si="0"/>
        <v>0.68095133999317792</v>
      </c>
      <c r="L28" s="9">
        <f t="shared" si="3"/>
        <v>305548.70620104863</v>
      </c>
      <c r="M28" s="9">
        <f t="shared" si="4"/>
        <v>448708.57615774684</v>
      </c>
      <c r="N28" s="1"/>
    </row>
    <row r="29" spans="1:15" x14ac:dyDescent="0.25">
      <c r="A29" s="3">
        <v>14</v>
      </c>
      <c r="B29" s="8"/>
      <c r="C29" s="35">
        <f>C28*(1+$B$4)</f>
        <v>515656.45803488634</v>
      </c>
      <c r="D29" s="9">
        <f t="shared" si="5"/>
        <v>-50610.523994837888</v>
      </c>
      <c r="E29" s="9">
        <f t="shared" si="1"/>
        <v>6490143.5992919393</v>
      </c>
      <c r="F29" s="33">
        <f>iWoDat!$D$17</f>
        <v>331886.02197663998</v>
      </c>
      <c r="G29" s="37">
        <f t="shared" si="6"/>
        <v>15255.264385833576</v>
      </c>
      <c r="H29" s="37">
        <f t="shared" si="7"/>
        <v>38024.848661210097</v>
      </c>
      <c r="I29" s="37">
        <f t="shared" si="2"/>
        <v>10313.129160697727</v>
      </c>
      <c r="J29" s="9">
        <f t="shared" si="8"/>
        <v>452063.21582714492</v>
      </c>
      <c r="K29" s="19">
        <f t="shared" si="0"/>
        <v>0.66111780581861923</v>
      </c>
      <c r="L29" s="9">
        <f t="shared" si="3"/>
        <v>298867.04133895092</v>
      </c>
      <c r="M29" s="9">
        <f t="shared" si="4"/>
        <v>452063.21582714492</v>
      </c>
      <c r="N29" s="1"/>
    </row>
    <row r="30" spans="1:15" x14ac:dyDescent="0.25">
      <c r="A30" s="3">
        <v>15</v>
      </c>
      <c r="B30" s="8"/>
      <c r="C30" s="36">
        <f>C29*(1+$B$4)</f>
        <v>520297.36615720025</v>
      </c>
      <c r="D30" s="9">
        <f t="shared" si="5"/>
        <v>-50218.913931112736</v>
      </c>
      <c r="E30" s="9">
        <f t="shared" si="1"/>
        <v>6439924.6853608266</v>
      </c>
      <c r="F30" s="33">
        <f>iWoDat!$D$17</f>
        <v>331886.02197663998</v>
      </c>
      <c r="G30" s="37">
        <f t="shared" si="6"/>
        <v>15484.093351621079</v>
      </c>
      <c r="H30" s="37">
        <f t="shared" si="7"/>
        <v>38975.469877740346</v>
      </c>
      <c r="I30" s="37">
        <f t="shared" si="2"/>
        <v>10405.947323144004</v>
      </c>
      <c r="J30" s="9">
        <f t="shared" ref="J30:J35" si="9">C30-G30-H30-I30</f>
        <v>455431.85560469481</v>
      </c>
      <c r="K30" s="19">
        <f t="shared" si="0"/>
        <v>0.64186194739671765</v>
      </c>
      <c r="L30" s="9">
        <f t="shared" si="3"/>
        <v>292324.3777449301</v>
      </c>
      <c r="M30" s="9">
        <f t="shared" si="4"/>
        <v>455431.85560469481</v>
      </c>
      <c r="N30" s="1"/>
    </row>
    <row r="31" spans="1:15" x14ac:dyDescent="0.25">
      <c r="A31" s="3">
        <v>16</v>
      </c>
      <c r="B31" s="8"/>
      <c r="C31" s="35">
        <f>C30*(1+$B$5)</f>
        <v>523419.15035414346</v>
      </c>
      <c r="D31" s="9">
        <f t="shared" si="5"/>
        <v>-49830.334036409855</v>
      </c>
      <c r="E31" s="9">
        <f t="shared" si="1"/>
        <v>6390094.3513244167</v>
      </c>
      <c r="F31" s="33">
        <f>iWoDat!$D$17</f>
        <v>331886.02197663998</v>
      </c>
      <c r="G31" s="37">
        <f t="shared" si="6"/>
        <v>15716.354751895393</v>
      </c>
      <c r="H31" s="37">
        <f t="shared" si="7"/>
        <v>39949.856624683853</v>
      </c>
      <c r="I31" s="37">
        <f t="shared" si="2"/>
        <v>10468.38300708287</v>
      </c>
      <c r="J31" s="9">
        <f t="shared" si="9"/>
        <v>457284.55597048136</v>
      </c>
      <c r="K31" s="19">
        <f t="shared" si="0"/>
        <v>0.62316693922011435</v>
      </c>
      <c r="L31" s="9">
        <f t="shared" si="3"/>
        <v>284964.61709675397</v>
      </c>
      <c r="M31" s="9">
        <f t="shared" si="4"/>
        <v>457284.55597048136</v>
      </c>
      <c r="N31" s="1"/>
    </row>
    <row r="32" spans="1:15" x14ac:dyDescent="0.25">
      <c r="A32" s="3">
        <v>17</v>
      </c>
      <c r="B32" s="8"/>
      <c r="C32" s="35">
        <f>C31*(1+$B$5)</f>
        <v>526559.66525626834</v>
      </c>
      <c r="D32" s="9">
        <f t="shared" si="5"/>
        <v>-49444.76086412929</v>
      </c>
      <c r="E32" s="9">
        <f t="shared" si="1"/>
        <v>6340649.5904602874</v>
      </c>
      <c r="F32" s="33">
        <f>iWoDat!$D$17</f>
        <v>331886.02197663998</v>
      </c>
      <c r="G32" s="37">
        <f t="shared" si="6"/>
        <v>15952.100073173822</v>
      </c>
      <c r="H32" s="37">
        <f t="shared" si="7"/>
        <v>40948.603040300943</v>
      </c>
      <c r="I32" s="37">
        <f t="shared" si="2"/>
        <v>10531.193305125367</v>
      </c>
      <c r="J32" s="9">
        <f t="shared" si="9"/>
        <v>459127.76883766823</v>
      </c>
      <c r="K32" s="19">
        <f t="shared" si="0"/>
        <v>0.60501644584477121</v>
      </c>
      <c r="L32" s="9">
        <f t="shared" si="3"/>
        <v>277779.85089080571</v>
      </c>
      <c r="M32" s="9">
        <f t="shared" si="4"/>
        <v>459127.76883766823</v>
      </c>
      <c r="N32" s="1"/>
    </row>
    <row r="33" spans="1:14" x14ac:dyDescent="0.25">
      <c r="A33" s="3">
        <v>18</v>
      </c>
      <c r="B33" s="8"/>
      <c r="C33" s="35">
        <f>C32*(1+$B$5)</f>
        <v>529719.02324780601</v>
      </c>
      <c r="D33" s="9">
        <f t="shared" si="5"/>
        <v>-49062.171149096452</v>
      </c>
      <c r="E33" s="9">
        <f t="shared" si="1"/>
        <v>6291587.419311191</v>
      </c>
      <c r="F33" s="33">
        <f>iWoDat!$D$17</f>
        <v>331886.02197663998</v>
      </c>
      <c r="G33" s="37">
        <f t="shared" si="6"/>
        <v>16191.381574271429</v>
      </c>
      <c r="H33" s="37">
        <f t="shared" si="7"/>
        <v>41972.318116308459</v>
      </c>
      <c r="I33" s="37">
        <f t="shared" si="2"/>
        <v>10594.380464956121</v>
      </c>
      <c r="J33" s="9">
        <f t="shared" si="9"/>
        <v>460960.94309227</v>
      </c>
      <c r="K33" s="19">
        <f t="shared" si="0"/>
        <v>0.5873946076162827</v>
      </c>
      <c r="L33" s="9">
        <f t="shared" si="3"/>
        <v>270765.97229411558</v>
      </c>
      <c r="M33" s="9">
        <f t="shared" si="4"/>
        <v>460960.94309227</v>
      </c>
      <c r="N33" s="1"/>
    </row>
    <row r="34" spans="1:14" x14ac:dyDescent="0.25">
      <c r="A34" s="3">
        <v>19</v>
      </c>
      <c r="B34" s="8"/>
      <c r="C34" s="35">
        <f>C33*(1+$B$5)</f>
        <v>532897.33738729288</v>
      </c>
      <c r="D34" s="9">
        <f t="shared" si="5"/>
        <v>-48682.54180615209</v>
      </c>
      <c r="E34" s="9">
        <f t="shared" si="1"/>
        <v>6242904.8775050389</v>
      </c>
      <c r="F34" s="33">
        <f>iWoDat!$D$17</f>
        <v>331886.02197663998</v>
      </c>
      <c r="G34" s="37">
        <f t="shared" si="6"/>
        <v>16434.252297885498</v>
      </c>
      <c r="H34" s="37">
        <f t="shared" si="7"/>
        <v>43021.626069216167</v>
      </c>
      <c r="I34" s="37">
        <f t="shared" si="2"/>
        <v>10657.946747745858</v>
      </c>
      <c r="J34" s="9">
        <f t="shared" si="9"/>
        <v>462783.51227244537</v>
      </c>
      <c r="K34" s="19">
        <f t="shared" si="0"/>
        <v>0.57028602681192497</v>
      </c>
      <c r="L34" s="9">
        <f t="shared" si="3"/>
        <v>263918.97048792057</v>
      </c>
      <c r="M34" s="9">
        <f t="shared" si="4"/>
        <v>462783.51227244537</v>
      </c>
      <c r="N34" s="1"/>
    </row>
    <row r="35" spans="1:14" x14ac:dyDescent="0.25">
      <c r="A35" s="3">
        <v>20</v>
      </c>
      <c r="B35" s="9">
        <f>(J35)/B11</f>
        <v>6194598.5890677869</v>
      </c>
      <c r="C35" s="35">
        <f>C34*(1+$B$5)</f>
        <v>536094.72141161666</v>
      </c>
      <c r="D35" s="9">
        <f t="shared" si="5"/>
        <v>-48305.849928768352</v>
      </c>
      <c r="E35" s="9">
        <f>E34*(1+$B$12)</f>
        <v>6194599.0275762705</v>
      </c>
      <c r="F35" s="33">
        <f>iWoDat!$D$17</f>
        <v>331886.02197663998</v>
      </c>
      <c r="G35" s="37">
        <f t="shared" si="6"/>
        <v>16680.766082353777</v>
      </c>
      <c r="H35" s="38">
        <f t="shared" si="7"/>
        <v>44097.166720946567</v>
      </c>
      <c r="I35" s="37">
        <f t="shared" si="2"/>
        <v>10721.894428232334</v>
      </c>
      <c r="J35" s="9">
        <f t="shared" si="9"/>
        <v>464594.894180084</v>
      </c>
      <c r="K35" s="19">
        <f t="shared" si="0"/>
        <v>0.55367575418633497</v>
      </c>
      <c r="L35" s="20">
        <f>J35*K35+B35*K35</f>
        <v>3687033.9741099919</v>
      </c>
      <c r="M35" s="20">
        <f>J35+B35</f>
        <v>6659193.4832478706</v>
      </c>
      <c r="N35" s="1"/>
    </row>
    <row r="36" spans="1:14" x14ac:dyDescent="0.25">
      <c r="G36" s="18"/>
      <c r="H36" s="24"/>
      <c r="I36" s="18"/>
      <c r="J36" s="11"/>
      <c r="L36" s="2">
        <f>SUM(L15:L35)</f>
        <v>2620907.5994794783</v>
      </c>
      <c r="M36" s="34">
        <f>IRR(M15:M35)</f>
        <v>5.5158769536192809E-2</v>
      </c>
    </row>
    <row r="38" spans="1:14" x14ac:dyDescent="0.25">
      <c r="B38" s="21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130" zoomScaleNormal="130" workbookViewId="0">
      <selection activeCell="E11" sqref="E11"/>
    </sheetView>
  </sheetViews>
  <sheetFormatPr baseColWidth="10" defaultRowHeight="13.2" x14ac:dyDescent="0.25"/>
  <cols>
    <col min="1" max="1" width="7.77734375" customWidth="1"/>
    <col min="2" max="2" width="9.77734375" customWidth="1"/>
    <col min="3" max="4" width="7.5546875" customWidth="1"/>
    <col min="5" max="5" width="10.109375" customWidth="1"/>
    <col min="6" max="6" width="7.5546875" customWidth="1"/>
    <col min="7" max="7" width="6.5546875" customWidth="1"/>
    <col min="8" max="8" width="8" customWidth="1"/>
    <col min="9" max="9" width="6.77734375" customWidth="1"/>
    <col min="10" max="10" width="7.5546875" customWidth="1"/>
    <col min="11" max="11" width="6.5546875" customWidth="1"/>
    <col min="12" max="14" width="9.77734375" customWidth="1"/>
  </cols>
  <sheetData>
    <row r="1" spans="1:14" x14ac:dyDescent="0.25">
      <c r="A1" t="s">
        <v>143</v>
      </c>
      <c r="B1" s="16">
        <v>0.03</v>
      </c>
    </row>
    <row r="2" spans="1:14" x14ac:dyDescent="0.25">
      <c r="A2" t="s">
        <v>117</v>
      </c>
      <c r="B2" s="16">
        <v>1.4999999999999999E-2</v>
      </c>
    </row>
    <row r="3" spans="1:14" x14ac:dyDescent="0.25">
      <c r="A3" t="s">
        <v>118</v>
      </c>
      <c r="B3" s="16">
        <v>1.2E-2</v>
      </c>
    </row>
    <row r="4" spans="1:14" x14ac:dyDescent="0.25">
      <c r="A4" t="s">
        <v>119</v>
      </c>
      <c r="B4" s="16">
        <v>8.9999999999999993E-3</v>
      </c>
    </row>
    <row r="5" spans="1:14" x14ac:dyDescent="0.25">
      <c r="A5" t="s">
        <v>120</v>
      </c>
      <c r="B5" s="16">
        <v>6.0000000000000001E-3</v>
      </c>
    </row>
    <row r="6" spans="1:14" x14ac:dyDescent="0.25">
      <c r="A6" t="s">
        <v>96</v>
      </c>
      <c r="B6" s="16">
        <v>1.4999999999999999E-2</v>
      </c>
    </row>
    <row r="7" spans="1:14" x14ac:dyDescent="0.25">
      <c r="A7" t="s">
        <v>97</v>
      </c>
      <c r="B7" s="16">
        <v>2.5000000000000001E-2</v>
      </c>
    </row>
    <row r="8" spans="1:14" x14ac:dyDescent="0.25">
      <c r="A8" t="s">
        <v>98</v>
      </c>
      <c r="B8" s="16">
        <v>0</v>
      </c>
    </row>
    <row r="9" spans="1:14" x14ac:dyDescent="0.25">
      <c r="A9" t="s">
        <v>95</v>
      </c>
      <c r="B9" s="16">
        <f>iWoDat!$D$8/100</f>
        <v>0.02</v>
      </c>
    </row>
    <row r="10" spans="1:14" x14ac:dyDescent="0.25">
      <c r="A10" t="s">
        <v>100</v>
      </c>
      <c r="B10" s="14">
        <f>(J16+F16)/E15</f>
        <v>5.4260201084890991E-2</v>
      </c>
    </row>
    <row r="11" spans="1:14" x14ac:dyDescent="0.25">
      <c r="A11" t="s">
        <v>101</v>
      </c>
      <c r="B11" s="14">
        <v>7.4999999999999997E-2</v>
      </c>
    </row>
    <row r="12" spans="1:14" x14ac:dyDescent="0.25">
      <c r="A12" t="s">
        <v>115</v>
      </c>
      <c r="B12" s="14">
        <v>-7.73772E-3</v>
      </c>
      <c r="C12" s="1"/>
      <c r="D12" s="1"/>
      <c r="E12" s="1"/>
    </row>
    <row r="13" spans="1:14" x14ac:dyDescent="0.25">
      <c r="C13" s="1"/>
      <c r="D13" s="1"/>
      <c r="E13" s="1"/>
    </row>
    <row r="14" spans="1:14" ht="15.6" x14ac:dyDescent="0.35">
      <c r="A14" s="12" t="s">
        <v>88</v>
      </c>
      <c r="B14" s="12" t="s">
        <v>99</v>
      </c>
      <c r="C14" s="12" t="s">
        <v>93</v>
      </c>
      <c r="D14" s="12" t="s">
        <v>115</v>
      </c>
      <c r="E14" s="12" t="s">
        <v>116</v>
      </c>
      <c r="F14" s="12" t="s">
        <v>94</v>
      </c>
      <c r="G14" s="12" t="s">
        <v>96</v>
      </c>
      <c r="H14" s="12" t="s">
        <v>103</v>
      </c>
      <c r="I14" s="12" t="s">
        <v>95</v>
      </c>
      <c r="J14" s="12" t="s">
        <v>89</v>
      </c>
      <c r="K14" s="12" t="s">
        <v>90</v>
      </c>
      <c r="L14" s="12" t="s">
        <v>91</v>
      </c>
      <c r="M14" s="12" t="s">
        <v>0</v>
      </c>
      <c r="N14" s="12" t="s">
        <v>124</v>
      </c>
    </row>
    <row r="15" spans="1:14" x14ac:dyDescent="0.25">
      <c r="A15" s="3">
        <v>0</v>
      </c>
      <c r="B15" s="9">
        <f>iWoDat!$D$12*(-1)</f>
        <v>-1808938</v>
      </c>
      <c r="C15" s="9"/>
      <c r="D15" s="9"/>
      <c r="E15" s="9">
        <f>iWoDat!$D$9</f>
        <v>7235750</v>
      </c>
      <c r="F15" s="9"/>
      <c r="G15" s="9"/>
      <c r="H15" s="9"/>
      <c r="I15" s="9"/>
      <c r="J15" s="9">
        <v>0</v>
      </c>
      <c r="K15" s="19">
        <f t="shared" ref="K15:K35" si="0">1/(1+$B$1)^A15</f>
        <v>1</v>
      </c>
      <c r="L15" s="9">
        <f>B15*K15</f>
        <v>-1808938</v>
      </c>
      <c r="M15" s="9">
        <f>B15</f>
        <v>-1808938</v>
      </c>
      <c r="N15" s="1">
        <f t="shared" ref="N15:N35" si="1">M15+F15</f>
        <v>-1808938</v>
      </c>
    </row>
    <row r="16" spans="1:14" x14ac:dyDescent="0.25">
      <c r="A16" s="3">
        <v>1</v>
      </c>
      <c r="B16" s="8"/>
      <c r="C16" s="35">
        <f>iWoDat!$D$24</f>
        <v>441600</v>
      </c>
      <c r="D16" s="9">
        <f>E16-E15</f>
        <v>-55988.207489999942</v>
      </c>
      <c r="E16" s="9">
        <f t="shared" ref="E16:E34" si="2">E15*(1+$B$12)</f>
        <v>7179761.7925100001</v>
      </c>
      <c r="F16" s="37">
        <f>iWoDat!$D$17</f>
        <v>331886.02197663998</v>
      </c>
      <c r="G16" s="37">
        <f>iWoDat!$D$19</f>
        <v>12570.750000000002</v>
      </c>
      <c r="H16" s="37">
        <f>iWoDat!$D$20</f>
        <v>27583.999999999996</v>
      </c>
      <c r="I16" s="37">
        <f t="shared" ref="I16:I35" si="3">$B$9*C16</f>
        <v>8832</v>
      </c>
      <c r="J16" s="9">
        <f t="shared" ref="J16:J35" si="4">C16-F16-G16-H16-I16</f>
        <v>60727.228023360018</v>
      </c>
      <c r="K16" s="19">
        <f t="shared" si="0"/>
        <v>0.970873786407767</v>
      </c>
      <c r="L16" s="9">
        <f t="shared" ref="L16:L34" si="5">J16*K16</f>
        <v>58958.473809087394</v>
      </c>
      <c r="M16" s="9">
        <f t="shared" ref="M16:M34" si="6">J16</f>
        <v>60727.228023360018</v>
      </c>
      <c r="N16" s="1">
        <f t="shared" si="1"/>
        <v>392613.25</v>
      </c>
    </row>
    <row r="17" spans="1:15" x14ac:dyDescent="0.25">
      <c r="A17" s="3">
        <v>2</v>
      </c>
      <c r="B17" s="8"/>
      <c r="C17" s="35">
        <f>C16*(1+$B$2)</f>
        <v>448223.99999999994</v>
      </c>
      <c r="D17" s="9">
        <f t="shared" ref="D17:D35" si="7">E17-E16</f>
        <v>-55554.98641713988</v>
      </c>
      <c r="E17" s="9">
        <f t="shared" si="2"/>
        <v>7124206.8060928602</v>
      </c>
      <c r="F17" s="37">
        <f>iWoDat!$D$17</f>
        <v>331886.02197663998</v>
      </c>
      <c r="G17" s="37">
        <f>G16*(1+$B$6)</f>
        <v>12759.311250000001</v>
      </c>
      <c r="H17" s="37">
        <f>H16*(1+$B$7)</f>
        <v>28273.599999999995</v>
      </c>
      <c r="I17" s="37">
        <f t="shared" si="3"/>
        <v>8964.48</v>
      </c>
      <c r="J17" s="9">
        <f t="shared" si="4"/>
        <v>66340.586773359973</v>
      </c>
      <c r="K17" s="19">
        <f t="shared" si="0"/>
        <v>0.94259590913375435</v>
      </c>
      <c r="L17" s="9">
        <f t="shared" si="5"/>
        <v>62532.365702101961</v>
      </c>
      <c r="M17" s="9">
        <f t="shared" si="6"/>
        <v>66340.586773359973</v>
      </c>
      <c r="N17" s="1">
        <f t="shared" si="1"/>
        <v>398226.60874999996</v>
      </c>
      <c r="O17" s="1"/>
    </row>
    <row r="18" spans="1:15" x14ac:dyDescent="0.25">
      <c r="A18" s="3">
        <v>3</v>
      </c>
      <c r="B18" s="8"/>
      <c r="C18" s="35">
        <f>C17*(1+$B$2)</f>
        <v>454947.35999999987</v>
      </c>
      <c r="D18" s="9">
        <f t="shared" si="7"/>
        <v>-55125.11748764012</v>
      </c>
      <c r="E18" s="9">
        <f t="shared" si="2"/>
        <v>7069081.6886052201</v>
      </c>
      <c r="F18" s="37">
        <f>iWoDat!$D$17</f>
        <v>331886.02197663998</v>
      </c>
      <c r="G18" s="37">
        <f t="shared" ref="G18:G35" si="8">G17*(1+$B$6)</f>
        <v>12950.700918749999</v>
      </c>
      <c r="H18" s="37">
        <f t="shared" ref="H18:H35" si="9">H17*(1+$B$7)</f>
        <v>28980.439999999991</v>
      </c>
      <c r="I18" s="37">
        <f t="shared" si="3"/>
        <v>9098.9471999999969</v>
      </c>
      <c r="J18" s="9">
        <f t="shared" si="4"/>
        <v>72031.249904609911</v>
      </c>
      <c r="K18" s="19">
        <f t="shared" si="0"/>
        <v>0.91514165935315961</v>
      </c>
      <c r="L18" s="9">
        <f t="shared" si="5"/>
        <v>65918.797562986831</v>
      </c>
      <c r="M18" s="9">
        <f t="shared" si="6"/>
        <v>72031.249904609911</v>
      </c>
      <c r="N18" s="1">
        <f t="shared" si="1"/>
        <v>403917.27188124991</v>
      </c>
    </row>
    <row r="19" spans="1:15" x14ac:dyDescent="0.25">
      <c r="A19" s="3">
        <v>4</v>
      </c>
      <c r="B19" s="8"/>
      <c r="C19" s="35">
        <f>C18*(1+$B$2)</f>
        <v>461771.57039999985</v>
      </c>
      <c r="D19" s="9">
        <f t="shared" si="7"/>
        <v>-54698.574763554148</v>
      </c>
      <c r="E19" s="9">
        <f t="shared" si="2"/>
        <v>7014383.1138416659</v>
      </c>
      <c r="F19" s="37">
        <f>iWoDat!$D$17</f>
        <v>331886.02197663998</v>
      </c>
      <c r="G19" s="37">
        <f t="shared" si="8"/>
        <v>13144.961432531247</v>
      </c>
      <c r="H19" s="37">
        <f t="shared" si="9"/>
        <v>29704.95099999999</v>
      </c>
      <c r="I19" s="37">
        <f t="shared" si="3"/>
        <v>9235.4314079999967</v>
      </c>
      <c r="J19" s="9">
        <f t="shared" si="4"/>
        <v>77800.20458282865</v>
      </c>
      <c r="K19" s="19">
        <f t="shared" si="0"/>
        <v>0.888487047915689</v>
      </c>
      <c r="L19" s="9">
        <f t="shared" si="5"/>
        <v>69124.474097034079</v>
      </c>
      <c r="M19" s="9">
        <f t="shared" si="6"/>
        <v>77800.20458282865</v>
      </c>
      <c r="N19" s="1">
        <f t="shared" si="1"/>
        <v>409686.22655946866</v>
      </c>
    </row>
    <row r="20" spans="1:15" x14ac:dyDescent="0.25">
      <c r="A20" s="3">
        <v>5</v>
      </c>
      <c r="B20" s="8"/>
      <c r="C20" s="36">
        <f>C19*(1+$B$2)</f>
        <v>468698.14395599981</v>
      </c>
      <c r="D20" s="9">
        <f t="shared" si="7"/>
        <v>-54275.332507634535</v>
      </c>
      <c r="E20" s="9">
        <f t="shared" si="2"/>
        <v>6960107.7813340314</v>
      </c>
      <c r="F20" s="37">
        <f>iWoDat!$D$17</f>
        <v>331886.02197663998</v>
      </c>
      <c r="G20" s="37">
        <f t="shared" si="8"/>
        <v>13342.135854019214</v>
      </c>
      <c r="H20" s="37">
        <f t="shared" si="9"/>
        <v>30447.574774999986</v>
      </c>
      <c r="I20" s="37">
        <f t="shared" si="3"/>
        <v>9373.9628791199957</v>
      </c>
      <c r="J20" s="9">
        <f t="shared" si="4"/>
        <v>83648.448471220632</v>
      </c>
      <c r="K20" s="19">
        <f t="shared" si="0"/>
        <v>0.86260878438416411</v>
      </c>
      <c r="L20" s="9">
        <f t="shared" si="5"/>
        <v>72155.886451381026</v>
      </c>
      <c r="M20" s="9">
        <f t="shared" si="6"/>
        <v>83648.448471220632</v>
      </c>
      <c r="N20" s="1">
        <f t="shared" si="1"/>
        <v>415534.4704478606</v>
      </c>
    </row>
    <row r="21" spans="1:15" x14ac:dyDescent="0.25">
      <c r="A21" s="3">
        <v>6</v>
      </c>
      <c r="B21" s="8"/>
      <c r="C21" s="35">
        <f>C20*(1+$B$3)</f>
        <v>474322.5216834718</v>
      </c>
      <c r="D21" s="9">
        <f t="shared" si="7"/>
        <v>-53855.365181783214</v>
      </c>
      <c r="E21" s="9">
        <f t="shared" si="2"/>
        <v>6906252.4161522482</v>
      </c>
      <c r="F21" s="37">
        <f>iWoDat!$D$17</f>
        <v>331886.02197663998</v>
      </c>
      <c r="G21" s="37">
        <f t="shared" si="8"/>
        <v>13542.267891829501</v>
      </c>
      <c r="H21" s="37">
        <f t="shared" si="9"/>
        <v>31208.764144374982</v>
      </c>
      <c r="I21" s="37">
        <f t="shared" si="3"/>
        <v>9486.4504336694354</v>
      </c>
      <c r="J21" s="9">
        <f t="shared" si="4"/>
        <v>88199.017236957909</v>
      </c>
      <c r="K21" s="19">
        <f t="shared" si="0"/>
        <v>0.83748425668365445</v>
      </c>
      <c r="L21" s="9">
        <f t="shared" si="5"/>
        <v>73865.28839092252</v>
      </c>
      <c r="M21" s="9">
        <f t="shared" si="6"/>
        <v>88199.017236957909</v>
      </c>
      <c r="N21" s="1">
        <f t="shared" si="1"/>
        <v>420085.03921359789</v>
      </c>
    </row>
    <row r="22" spans="1:15" x14ac:dyDescent="0.25">
      <c r="A22" s="3">
        <v>7</v>
      </c>
      <c r="B22" s="8"/>
      <c r="C22" s="35">
        <f>C21*(1+$B$3)</f>
        <v>480014.39194367349</v>
      </c>
      <c r="D22" s="9">
        <f t="shared" si="7"/>
        <v>-53438.64744550921</v>
      </c>
      <c r="E22" s="9">
        <f t="shared" si="2"/>
        <v>6852813.7687067389</v>
      </c>
      <c r="F22" s="37">
        <f>iWoDat!$D$17</f>
        <v>331886.02197663998</v>
      </c>
      <c r="G22" s="37">
        <f t="shared" si="8"/>
        <v>13745.401910206941</v>
      </c>
      <c r="H22" s="37">
        <f t="shared" si="9"/>
        <v>31988.983247984354</v>
      </c>
      <c r="I22" s="37">
        <f t="shared" si="3"/>
        <v>9600.2878388734698</v>
      </c>
      <c r="J22" s="9">
        <f t="shared" si="4"/>
        <v>92793.696969968747</v>
      </c>
      <c r="K22" s="19">
        <f t="shared" si="0"/>
        <v>0.81309151134335378</v>
      </c>
      <c r="L22" s="9">
        <f t="shared" si="5"/>
        <v>75449.767312449083</v>
      </c>
      <c r="M22" s="9">
        <f t="shared" si="6"/>
        <v>92793.696969968747</v>
      </c>
      <c r="N22" s="1">
        <f t="shared" si="1"/>
        <v>424679.71894660871</v>
      </c>
    </row>
    <row r="23" spans="1:15" x14ac:dyDescent="0.25">
      <c r="A23" s="3">
        <v>8</v>
      </c>
      <c r="B23" s="8"/>
      <c r="C23" s="35">
        <f>C22*(1+$B$3)</f>
        <v>485774.56464699755</v>
      </c>
      <c r="D23" s="9">
        <f t="shared" si="7"/>
        <v>-53025.154154397547</v>
      </c>
      <c r="E23" s="9">
        <f t="shared" si="2"/>
        <v>6799788.6145523414</v>
      </c>
      <c r="F23" s="37">
        <f>iWoDat!$D$17</f>
        <v>331886.02197663998</v>
      </c>
      <c r="G23" s="37">
        <f t="shared" si="8"/>
        <v>13951.582938860045</v>
      </c>
      <c r="H23" s="37">
        <f t="shared" si="9"/>
        <v>32788.707829183957</v>
      </c>
      <c r="I23" s="37">
        <f t="shared" si="3"/>
        <v>9715.4912929399507</v>
      </c>
      <c r="J23" s="9">
        <f t="shared" si="4"/>
        <v>97432.760609373596</v>
      </c>
      <c r="K23" s="19">
        <f t="shared" si="0"/>
        <v>0.78940923431393573</v>
      </c>
      <c r="L23" s="9">
        <f t="shared" si="5"/>
        <v>76914.320949738612</v>
      </c>
      <c r="M23" s="9">
        <f t="shared" si="6"/>
        <v>97432.760609373596</v>
      </c>
      <c r="N23" s="1">
        <f t="shared" si="1"/>
        <v>429318.78258601355</v>
      </c>
    </row>
    <row r="24" spans="1:15" x14ac:dyDescent="0.25">
      <c r="A24" s="3">
        <v>9</v>
      </c>
      <c r="B24" s="8"/>
      <c r="C24" s="35">
        <f>C23*(1+$B$3)</f>
        <v>491603.85942276154</v>
      </c>
      <c r="D24" s="9">
        <f t="shared" si="7"/>
        <v>-52614.860358593985</v>
      </c>
      <c r="E24" s="9">
        <f t="shared" si="2"/>
        <v>6747173.7541937474</v>
      </c>
      <c r="F24" s="37">
        <f>iWoDat!$D$17</f>
        <v>331886.02197663998</v>
      </c>
      <c r="G24" s="37">
        <f t="shared" si="8"/>
        <v>14160.856682942944</v>
      </c>
      <c r="H24" s="37">
        <f t="shared" si="9"/>
        <v>33608.425524913553</v>
      </c>
      <c r="I24" s="37">
        <f t="shared" si="3"/>
        <v>9832.0771884552305</v>
      </c>
      <c r="J24" s="9">
        <f t="shared" si="4"/>
        <v>102116.47804980981</v>
      </c>
      <c r="K24" s="19">
        <f t="shared" si="0"/>
        <v>0.76641673234362695</v>
      </c>
      <c r="L24" s="9">
        <f t="shared" si="5"/>
        <v>78263.777425374938</v>
      </c>
      <c r="M24" s="9">
        <f t="shared" si="6"/>
        <v>102116.47804980981</v>
      </c>
      <c r="N24" s="1">
        <f t="shared" si="1"/>
        <v>434002.50002644979</v>
      </c>
    </row>
    <row r="25" spans="1:15" x14ac:dyDescent="0.25">
      <c r="A25" s="3">
        <v>10</v>
      </c>
      <c r="B25" s="8"/>
      <c r="C25" s="36">
        <f>C24*(1+$B$3)</f>
        <v>497503.10573583469</v>
      </c>
      <c r="D25" s="9">
        <f t="shared" si="7"/>
        <v>-52207.741301300004</v>
      </c>
      <c r="E25" s="9">
        <f t="shared" si="2"/>
        <v>6694966.0128924474</v>
      </c>
      <c r="F25" s="37">
        <f>iWoDat!$D$17</f>
        <v>331886.02197663998</v>
      </c>
      <c r="G25" s="37">
        <f t="shared" si="8"/>
        <v>14373.269533187087</v>
      </c>
      <c r="H25" s="37">
        <f t="shared" si="9"/>
        <v>34448.63616303639</v>
      </c>
      <c r="I25" s="37">
        <f t="shared" si="3"/>
        <v>9950.0621147166949</v>
      </c>
      <c r="J25" s="9">
        <f t="shared" si="4"/>
        <v>106845.11594825452</v>
      </c>
      <c r="K25" s="19">
        <f t="shared" si="0"/>
        <v>0.74409391489672516</v>
      </c>
      <c r="L25" s="9">
        <f t="shared" si="5"/>
        <v>79502.800613531232</v>
      </c>
      <c r="M25" s="9">
        <f t="shared" si="6"/>
        <v>106845.11594825452</v>
      </c>
      <c r="N25" s="1">
        <f t="shared" si="1"/>
        <v>438731.13792489452</v>
      </c>
    </row>
    <row r="26" spans="1:15" x14ac:dyDescent="0.25">
      <c r="A26" s="3">
        <v>11</v>
      </c>
      <c r="B26" s="8"/>
      <c r="C26" s="35">
        <f>C25*(1+$B$4)</f>
        <v>501980.63368745713</v>
      </c>
      <c r="D26" s="9">
        <f t="shared" si="7"/>
        <v>-51803.772417278029</v>
      </c>
      <c r="E26" s="9">
        <f t="shared" si="2"/>
        <v>6643162.2404751694</v>
      </c>
      <c r="F26" s="37">
        <f>iWoDat!$D$17</f>
        <v>331886.02197663998</v>
      </c>
      <c r="G26" s="37">
        <f t="shared" si="8"/>
        <v>14588.868576184892</v>
      </c>
      <c r="H26" s="37">
        <f t="shared" si="9"/>
        <v>35309.852067112297</v>
      </c>
      <c r="I26" s="37">
        <f t="shared" si="3"/>
        <v>10039.612673749143</v>
      </c>
      <c r="J26" s="9">
        <f t="shared" si="4"/>
        <v>110156.2783937708</v>
      </c>
      <c r="K26" s="19">
        <f t="shared" si="0"/>
        <v>0.72242127659876232</v>
      </c>
      <c r="L26" s="9">
        <f t="shared" si="5"/>
        <v>79579.239262596559</v>
      </c>
      <c r="M26" s="9">
        <f t="shared" si="6"/>
        <v>110156.2783937708</v>
      </c>
      <c r="N26" s="1">
        <f t="shared" si="1"/>
        <v>442042.30037041078</v>
      </c>
    </row>
    <row r="27" spans="1:15" x14ac:dyDescent="0.25">
      <c r="A27" s="3">
        <v>12</v>
      </c>
      <c r="B27" s="8"/>
      <c r="C27" s="35">
        <f>C26*(1+$B$4)</f>
        <v>506498.45939064422</v>
      </c>
      <c r="D27" s="9">
        <f t="shared" si="7"/>
        <v>-51402.929331368767</v>
      </c>
      <c r="E27" s="9">
        <f t="shared" si="2"/>
        <v>6591759.3111438006</v>
      </c>
      <c r="F27" s="37">
        <f>iWoDat!$D$17</f>
        <v>331886.02197663998</v>
      </c>
      <c r="G27" s="37">
        <f t="shared" si="8"/>
        <v>14807.701604827664</v>
      </c>
      <c r="H27" s="37">
        <f t="shared" si="9"/>
        <v>36192.598368790103</v>
      </c>
      <c r="I27" s="37">
        <f t="shared" si="3"/>
        <v>10129.969187812885</v>
      </c>
      <c r="J27" s="9">
        <f t="shared" si="4"/>
        <v>113482.1682525736</v>
      </c>
      <c r="K27" s="19">
        <f t="shared" si="0"/>
        <v>0.70137988019297326</v>
      </c>
      <c r="L27" s="9">
        <f t="shared" si="5"/>
        <v>79594.109573028909</v>
      </c>
      <c r="M27" s="9">
        <f t="shared" si="6"/>
        <v>113482.1682525736</v>
      </c>
      <c r="N27" s="1">
        <f t="shared" si="1"/>
        <v>445368.19022921356</v>
      </c>
    </row>
    <row r="28" spans="1:15" x14ac:dyDescent="0.25">
      <c r="A28" s="3">
        <v>13</v>
      </c>
      <c r="B28" s="8"/>
      <c r="C28" s="35">
        <f>C27*(1+$B$4)</f>
        <v>511056.94552515994</v>
      </c>
      <c r="D28" s="9">
        <f t="shared" si="7"/>
        <v>-51005.18785702344</v>
      </c>
      <c r="E28" s="9">
        <f t="shared" si="2"/>
        <v>6540754.1232867772</v>
      </c>
      <c r="F28" s="37">
        <f>iWoDat!$D$17</f>
        <v>331886.02197663998</v>
      </c>
      <c r="G28" s="37">
        <f t="shared" si="8"/>
        <v>15029.817128900077</v>
      </c>
      <c r="H28" s="37">
        <f t="shared" si="9"/>
        <v>37097.413328009854</v>
      </c>
      <c r="I28" s="37">
        <f t="shared" si="3"/>
        <v>10221.138910503199</v>
      </c>
      <c r="J28" s="9">
        <f t="shared" si="4"/>
        <v>116822.55418110681</v>
      </c>
      <c r="K28" s="19">
        <f t="shared" si="0"/>
        <v>0.68095133999317792</v>
      </c>
      <c r="L28" s="9">
        <f t="shared" si="5"/>
        <v>79550.474811050313</v>
      </c>
      <c r="M28" s="9">
        <f t="shared" si="6"/>
        <v>116822.55418110681</v>
      </c>
      <c r="N28" s="1">
        <f t="shared" si="1"/>
        <v>448708.57615774678</v>
      </c>
    </row>
    <row r="29" spans="1:15" x14ac:dyDescent="0.25">
      <c r="A29" s="3">
        <v>14</v>
      </c>
      <c r="B29" s="8"/>
      <c r="C29" s="35">
        <f>C28*(1+$B$4)</f>
        <v>515656.45803488634</v>
      </c>
      <c r="D29" s="9">
        <f t="shared" si="7"/>
        <v>-50610.523994837888</v>
      </c>
      <c r="E29" s="9">
        <f t="shared" si="2"/>
        <v>6490143.5992919393</v>
      </c>
      <c r="F29" s="37">
        <f>iWoDat!$D$17</f>
        <v>331886.02197663998</v>
      </c>
      <c r="G29" s="37">
        <f t="shared" si="8"/>
        <v>15255.264385833576</v>
      </c>
      <c r="H29" s="37">
        <f t="shared" si="9"/>
        <v>38024.848661210097</v>
      </c>
      <c r="I29" s="37">
        <f t="shared" si="3"/>
        <v>10313.129160697727</v>
      </c>
      <c r="J29" s="9">
        <f t="shared" si="4"/>
        <v>120177.19385050495</v>
      </c>
      <c r="K29" s="19">
        <f t="shared" si="0"/>
        <v>0.66111780581861923</v>
      </c>
      <c r="L29" s="9">
        <f t="shared" si="5"/>
        <v>79451.282707884689</v>
      </c>
      <c r="M29" s="9">
        <f t="shared" si="6"/>
        <v>120177.19385050495</v>
      </c>
      <c r="N29" s="1">
        <f t="shared" si="1"/>
        <v>452063.21582714492</v>
      </c>
    </row>
    <row r="30" spans="1:15" x14ac:dyDescent="0.25">
      <c r="A30" s="3">
        <v>15</v>
      </c>
      <c r="B30" s="8"/>
      <c r="C30" s="36">
        <f>C29*(1+$B$4)</f>
        <v>520297.36615720025</v>
      </c>
      <c r="D30" s="9">
        <f t="shared" si="7"/>
        <v>-50218.913931112736</v>
      </c>
      <c r="E30" s="9">
        <f t="shared" si="2"/>
        <v>6439924.6853608266</v>
      </c>
      <c r="F30" s="37">
        <f>iWoDat!$D$17</f>
        <v>331886.02197663998</v>
      </c>
      <c r="G30" s="37">
        <f t="shared" si="8"/>
        <v>15484.093351621079</v>
      </c>
      <c r="H30" s="37">
        <f t="shared" si="9"/>
        <v>38975.469877740346</v>
      </c>
      <c r="I30" s="37">
        <f t="shared" si="3"/>
        <v>10405.947323144004</v>
      </c>
      <c r="J30" s="9">
        <f t="shared" si="4"/>
        <v>123545.83362805485</v>
      </c>
      <c r="K30" s="19">
        <f t="shared" si="0"/>
        <v>0.64186194739671765</v>
      </c>
      <c r="L30" s="9">
        <f t="shared" si="5"/>
        <v>79299.36936525417</v>
      </c>
      <c r="M30" s="9">
        <f t="shared" si="6"/>
        <v>123545.83362805485</v>
      </c>
      <c r="N30" s="1">
        <f t="shared" si="1"/>
        <v>455431.85560469481</v>
      </c>
    </row>
    <row r="31" spans="1:15" x14ac:dyDescent="0.25">
      <c r="A31" s="3">
        <v>16</v>
      </c>
      <c r="B31" s="8"/>
      <c r="C31" s="35">
        <f>C30*(1+$B$5)</f>
        <v>523419.15035414346</v>
      </c>
      <c r="D31" s="9">
        <f t="shared" si="7"/>
        <v>-49830.334036409855</v>
      </c>
      <c r="E31" s="9">
        <f t="shared" si="2"/>
        <v>6390094.3513244167</v>
      </c>
      <c r="F31" s="37">
        <f>iWoDat!$D$17</f>
        <v>331886.02197663998</v>
      </c>
      <c r="G31" s="37">
        <f t="shared" si="8"/>
        <v>15716.354751895393</v>
      </c>
      <c r="H31" s="37">
        <f t="shared" si="9"/>
        <v>39949.856624683853</v>
      </c>
      <c r="I31" s="37">
        <f t="shared" si="3"/>
        <v>10468.38300708287</v>
      </c>
      <c r="J31" s="9">
        <f t="shared" si="4"/>
        <v>125398.53399384137</v>
      </c>
      <c r="K31" s="19">
        <f t="shared" si="0"/>
        <v>0.62316693922011435</v>
      </c>
      <c r="L31" s="9">
        <f t="shared" si="5"/>
        <v>78144.220611631579</v>
      </c>
      <c r="M31" s="9">
        <f t="shared" si="6"/>
        <v>125398.53399384137</v>
      </c>
      <c r="N31" s="1">
        <f t="shared" si="1"/>
        <v>457284.55597048136</v>
      </c>
    </row>
    <row r="32" spans="1:15" x14ac:dyDescent="0.25">
      <c r="A32" s="3">
        <v>17</v>
      </c>
      <c r="B32" s="8"/>
      <c r="C32" s="35">
        <f>C31*(1+$B$5)</f>
        <v>526559.66525626834</v>
      </c>
      <c r="D32" s="9">
        <f t="shared" si="7"/>
        <v>-49444.76086412929</v>
      </c>
      <c r="E32" s="9">
        <f t="shared" si="2"/>
        <v>6340649.5904602874</v>
      </c>
      <c r="F32" s="37">
        <f>iWoDat!$D$17</f>
        <v>331886.02197663998</v>
      </c>
      <c r="G32" s="37">
        <f t="shared" si="8"/>
        <v>15952.100073173822</v>
      </c>
      <c r="H32" s="37">
        <f t="shared" si="9"/>
        <v>40948.603040300943</v>
      </c>
      <c r="I32" s="37">
        <f t="shared" si="3"/>
        <v>10531.193305125367</v>
      </c>
      <c r="J32" s="9">
        <f t="shared" si="4"/>
        <v>127241.74686102822</v>
      </c>
      <c r="K32" s="19">
        <f t="shared" si="0"/>
        <v>0.60501644584477121</v>
      </c>
      <c r="L32" s="9">
        <f t="shared" si="5"/>
        <v>76983.349448939363</v>
      </c>
      <c r="M32" s="9">
        <f t="shared" si="6"/>
        <v>127241.74686102822</v>
      </c>
      <c r="N32" s="1">
        <f t="shared" si="1"/>
        <v>459127.76883766823</v>
      </c>
    </row>
    <row r="33" spans="1:14" x14ac:dyDescent="0.25">
      <c r="A33" s="3">
        <v>18</v>
      </c>
      <c r="B33" s="8"/>
      <c r="C33" s="35">
        <f>C32*(1+$B$5)</f>
        <v>529719.02324780601</v>
      </c>
      <c r="D33" s="9">
        <f t="shared" si="7"/>
        <v>-49062.171149096452</v>
      </c>
      <c r="E33" s="9">
        <f t="shared" si="2"/>
        <v>6291587.419311191</v>
      </c>
      <c r="F33" s="37">
        <f>iWoDat!$D$17</f>
        <v>331886.02197663998</v>
      </c>
      <c r="G33" s="37">
        <f t="shared" si="8"/>
        <v>16191.381574271429</v>
      </c>
      <c r="H33" s="37">
        <f t="shared" si="9"/>
        <v>41972.318116308459</v>
      </c>
      <c r="I33" s="37">
        <f t="shared" si="3"/>
        <v>10594.380464956121</v>
      </c>
      <c r="J33" s="9">
        <f t="shared" si="4"/>
        <v>129074.92111563003</v>
      </c>
      <c r="K33" s="19">
        <f t="shared" si="0"/>
        <v>0.5873946076162827</v>
      </c>
      <c r="L33" s="9">
        <f t="shared" si="5"/>
        <v>75817.91264181814</v>
      </c>
      <c r="M33" s="9">
        <f t="shared" si="6"/>
        <v>129074.92111563003</v>
      </c>
      <c r="N33" s="1">
        <f t="shared" si="1"/>
        <v>460960.94309227</v>
      </c>
    </row>
    <row r="34" spans="1:14" x14ac:dyDescent="0.25">
      <c r="A34" s="3">
        <v>19</v>
      </c>
      <c r="B34" s="8"/>
      <c r="C34" s="35">
        <f>C33*(1+$B$5)</f>
        <v>532897.33738729288</v>
      </c>
      <c r="D34" s="9">
        <f t="shared" si="7"/>
        <v>-48682.54180615209</v>
      </c>
      <c r="E34" s="9">
        <f t="shared" si="2"/>
        <v>6242904.8775050389</v>
      </c>
      <c r="F34" s="37">
        <f>iWoDat!$D$17</f>
        <v>331886.02197663998</v>
      </c>
      <c r="G34" s="37">
        <f t="shared" si="8"/>
        <v>16434.252297885498</v>
      </c>
      <c r="H34" s="37">
        <f t="shared" si="9"/>
        <v>43021.626069216167</v>
      </c>
      <c r="I34" s="37">
        <f t="shared" si="3"/>
        <v>10657.946747745858</v>
      </c>
      <c r="J34" s="9">
        <f t="shared" si="4"/>
        <v>130897.49029580539</v>
      </c>
      <c r="K34" s="19">
        <f t="shared" si="0"/>
        <v>0.57028602681192497</v>
      </c>
      <c r="L34" s="9">
        <f t="shared" si="5"/>
        <v>74649.009660447366</v>
      </c>
      <c r="M34" s="9">
        <f t="shared" si="6"/>
        <v>130897.49029580539</v>
      </c>
      <c r="N34" s="1">
        <f t="shared" si="1"/>
        <v>462783.51227244537</v>
      </c>
    </row>
    <row r="35" spans="1:14" x14ac:dyDescent="0.25">
      <c r="A35" s="3">
        <v>20</v>
      </c>
      <c r="B35" s="9">
        <f>(J35+F35)/B11</f>
        <v>6194598.5890677869</v>
      </c>
      <c r="C35" s="35">
        <f>C34*(1+$B$5)</f>
        <v>536094.72141161666</v>
      </c>
      <c r="D35" s="9">
        <f t="shared" si="7"/>
        <v>-48305.849928768352</v>
      </c>
      <c r="E35" s="9">
        <f>E34*(1+$B$12)</f>
        <v>6194599.0275762705</v>
      </c>
      <c r="F35" s="37">
        <f>iWoDat!$D$17</f>
        <v>331886.02197663998</v>
      </c>
      <c r="G35" s="37">
        <f t="shared" si="8"/>
        <v>16680.766082353777</v>
      </c>
      <c r="H35" s="38">
        <f t="shared" si="9"/>
        <v>44097.166720946567</v>
      </c>
      <c r="I35" s="37">
        <f t="shared" si="3"/>
        <v>10721.894428232334</v>
      </c>
      <c r="J35" s="9">
        <f t="shared" si="4"/>
        <v>132708.87220344401</v>
      </c>
      <c r="K35" s="19">
        <f t="shared" si="0"/>
        <v>0.55367575418633497</v>
      </c>
      <c r="L35" s="20">
        <f>J35*K35+B35*K35</f>
        <v>3503276.7305881735</v>
      </c>
      <c r="M35" s="20">
        <f>J35+B35</f>
        <v>6327307.4612712311</v>
      </c>
      <c r="N35" s="1">
        <f t="shared" si="1"/>
        <v>6659193.4832478706</v>
      </c>
    </row>
    <row r="36" spans="1:14" x14ac:dyDescent="0.25">
      <c r="G36" s="18"/>
      <c r="H36" s="24"/>
      <c r="I36" s="18"/>
      <c r="J36" s="11"/>
      <c r="L36" s="2">
        <f>SUM(L15:L35)</f>
        <v>3110093.6509854323</v>
      </c>
      <c r="M36" s="34">
        <f>IRR(M15:M35)</f>
        <v>9.5605075299618925E-2</v>
      </c>
    </row>
    <row r="38" spans="1:14" x14ac:dyDescent="0.25">
      <c r="B38" s="21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120" workbookViewId="0">
      <selection activeCell="D29" sqref="D29"/>
    </sheetView>
  </sheetViews>
  <sheetFormatPr baseColWidth="10" defaultRowHeight="13.2" x14ac:dyDescent="0.25"/>
  <cols>
    <col min="1" max="1" width="3.33203125" bestFit="1" customWidth="1"/>
    <col min="2" max="2" width="8" customWidth="1"/>
    <col min="3" max="3" width="12.6640625" bestFit="1" customWidth="1"/>
    <col min="4" max="4" width="10.33203125" customWidth="1"/>
    <col min="5" max="5" width="7" customWidth="1"/>
    <col min="6" max="6" width="8.33203125" customWidth="1"/>
    <col min="7" max="7" width="8.6640625" customWidth="1"/>
    <col min="8" max="8" width="9.109375" customWidth="1"/>
    <col min="9" max="9" width="9.5546875" customWidth="1"/>
    <col min="10" max="10" width="13" bestFit="1" customWidth="1"/>
    <col min="11" max="11" width="8.77734375" customWidth="1"/>
    <col min="12" max="12" width="9.6640625" customWidth="1"/>
  </cols>
  <sheetData>
    <row r="1" spans="1:12" x14ac:dyDescent="0.25">
      <c r="A1" s="12" t="s">
        <v>88</v>
      </c>
      <c r="B1" s="12" t="s">
        <v>93</v>
      </c>
      <c r="C1" s="12" t="s">
        <v>129</v>
      </c>
      <c r="D1" s="12" t="s">
        <v>96</v>
      </c>
      <c r="E1" s="12" t="s">
        <v>103</v>
      </c>
      <c r="F1" s="12" t="s">
        <v>102</v>
      </c>
      <c r="G1" s="12" t="s">
        <v>95</v>
      </c>
      <c r="H1" s="26" t="s">
        <v>131</v>
      </c>
      <c r="I1" s="12" t="s">
        <v>130</v>
      </c>
      <c r="J1" s="28" t="s">
        <v>127</v>
      </c>
      <c r="K1" s="12" t="s">
        <v>128</v>
      </c>
      <c r="L1" s="12" t="s">
        <v>125</v>
      </c>
    </row>
    <row r="2" spans="1:12" x14ac:dyDescent="0.25">
      <c r="A2" s="3">
        <v>1</v>
      </c>
      <c r="B2" s="5">
        <f>'iWoTab EKneu'!C17</f>
        <v>448223.99999999994</v>
      </c>
      <c r="C2" s="27">
        <f>iWoDarl!C10</f>
        <v>108536.24</v>
      </c>
      <c r="D2" s="1">
        <f>'iWoTab EKneu'!G17</f>
        <v>12759.311250000001</v>
      </c>
      <c r="E2" s="1">
        <f>'iWoTab EKneu'!H17</f>
        <v>28273.599999999995</v>
      </c>
      <c r="F2" s="1">
        <f>'iWoTab EKneu'!I17</f>
        <v>8964.48</v>
      </c>
      <c r="G2" s="1">
        <f>'iWoTab EKneu'!K17</f>
        <v>0.94259590913375435</v>
      </c>
      <c r="H2" s="27">
        <f>iWoHK!$B$24</f>
        <v>4910125</v>
      </c>
      <c r="I2" s="4">
        <v>2</v>
      </c>
      <c r="J2" s="29">
        <f>$H$2*I2/100</f>
        <v>98202.5</v>
      </c>
      <c r="K2" s="22">
        <f t="shared" ref="K2:K21" si="0">B2-C2-D2-E2-F2-G2-J2</f>
        <v>191486.92615409085</v>
      </c>
      <c r="L2" s="22">
        <f>K2</f>
        <v>191486.92615409085</v>
      </c>
    </row>
    <row r="3" spans="1:12" x14ac:dyDescent="0.25">
      <c r="A3" s="3">
        <v>2</v>
      </c>
      <c r="B3" s="5">
        <f>'iWoTab EKneu'!C18</f>
        <v>454947.35999999987</v>
      </c>
      <c r="C3" s="27">
        <f>iWoDarl!C11</f>
        <v>104069.2443604672</v>
      </c>
      <c r="D3" s="1">
        <f>'iWoTab EKneu'!G18</f>
        <v>12950.700918749999</v>
      </c>
      <c r="E3" s="1">
        <f>'iWoTab EKneu'!H18</f>
        <v>28980.439999999991</v>
      </c>
      <c r="F3" s="1">
        <f>'iWoTab EKneu'!I18</f>
        <v>9098.9471999999969</v>
      </c>
      <c r="G3" s="1">
        <f>'iWoTab EKneu'!K18</f>
        <v>0.91514165935315961</v>
      </c>
      <c r="H3" s="27">
        <f>H2-J2</f>
        <v>4811922.5</v>
      </c>
      <c r="I3" s="4">
        <v>2</v>
      </c>
      <c r="J3" s="29">
        <f t="shared" ref="J3:J21" si="1">$H$2*I3/100</f>
        <v>98202.5</v>
      </c>
      <c r="K3" s="22">
        <f t="shared" si="0"/>
        <v>201644.61237912328</v>
      </c>
      <c r="L3" s="22">
        <f>K2+K3</f>
        <v>393131.53853321413</v>
      </c>
    </row>
    <row r="4" spans="1:12" x14ac:dyDescent="0.25">
      <c r="A4" s="3">
        <v>3</v>
      </c>
      <c r="B4" s="5">
        <f>'iWoTab EKneu'!C19</f>
        <v>461771.57039999985</v>
      </c>
      <c r="C4" s="27">
        <f>iWoDarl!C12</f>
        <v>99512.908808143737</v>
      </c>
      <c r="D4" s="1">
        <f>'iWoTab EKneu'!G19</f>
        <v>13144.961432531247</v>
      </c>
      <c r="E4" s="1">
        <f>'iWoTab EKneu'!H19</f>
        <v>29704.95099999999</v>
      </c>
      <c r="F4" s="1">
        <f>'iWoTab EKneu'!I19</f>
        <v>9235.4314079999967</v>
      </c>
      <c r="G4" s="1">
        <f>'iWoTab EKneu'!K19</f>
        <v>0.888487047915689</v>
      </c>
      <c r="H4" s="27">
        <f t="shared" ref="H4:H21" si="2">H3-J3</f>
        <v>4713720</v>
      </c>
      <c r="I4" s="4">
        <v>2</v>
      </c>
      <c r="J4" s="29">
        <f t="shared" si="1"/>
        <v>98202.5</v>
      </c>
      <c r="K4" s="22">
        <f t="shared" si="0"/>
        <v>211969.92926427693</v>
      </c>
      <c r="L4" s="22">
        <f>L3+K4</f>
        <v>605101.467797491</v>
      </c>
    </row>
    <row r="5" spans="1:12" x14ac:dyDescent="0.25">
      <c r="A5" s="3">
        <v>4</v>
      </c>
      <c r="B5" s="5">
        <f>'iWoTab EKneu'!C20</f>
        <v>468698.14395599981</v>
      </c>
      <c r="C5" s="27">
        <f>iWoDarl!C13</f>
        <v>94865.446544773804</v>
      </c>
      <c r="D5" s="1">
        <f>'iWoTab EKneu'!G20</f>
        <v>13342.135854019214</v>
      </c>
      <c r="E5" s="1">
        <f>'iWoTab EKneu'!H20</f>
        <v>30447.574774999986</v>
      </c>
      <c r="F5" s="1">
        <f>'iWoTab EKneu'!I20</f>
        <v>9373.9628791199957</v>
      </c>
      <c r="G5" s="1">
        <f>'iWoTab EKneu'!K20</f>
        <v>0.86260878438416411</v>
      </c>
      <c r="H5" s="27">
        <f t="shared" si="2"/>
        <v>4615517.5</v>
      </c>
      <c r="I5" s="4">
        <v>2</v>
      </c>
      <c r="J5" s="29">
        <f t="shared" si="1"/>
        <v>98202.5</v>
      </c>
      <c r="K5" s="22">
        <f t="shared" si="0"/>
        <v>222465.66129430238</v>
      </c>
      <c r="L5" s="22">
        <f t="shared" ref="L5:L21" si="3">L4+K5</f>
        <v>827567.12909179344</v>
      </c>
    </row>
    <row r="6" spans="1:12" x14ac:dyDescent="0.25">
      <c r="A6" s="3">
        <v>5</v>
      </c>
      <c r="B6" s="5">
        <f>'iWoTab EKneu'!C21</f>
        <v>474322.5216834718</v>
      </c>
      <c r="C6" s="27">
        <f>iWoDarl!C14</f>
        <v>90125.035036136469</v>
      </c>
      <c r="D6" s="1">
        <f>'iWoTab EKneu'!G21</f>
        <v>13542.267891829501</v>
      </c>
      <c r="E6" s="1">
        <f>'iWoTab EKneu'!H21</f>
        <v>31208.764144374982</v>
      </c>
      <c r="F6" s="1">
        <f>'iWoTab EKneu'!I21</f>
        <v>9486.4504336694354</v>
      </c>
      <c r="G6" s="1">
        <f>'iWoTab EKneu'!K21</f>
        <v>0.83748425668365445</v>
      </c>
      <c r="H6" s="27">
        <f t="shared" si="2"/>
        <v>4517315</v>
      </c>
      <c r="I6" s="4">
        <v>2</v>
      </c>
      <c r="J6" s="29">
        <f t="shared" si="1"/>
        <v>98202.5</v>
      </c>
      <c r="K6" s="22">
        <f t="shared" si="0"/>
        <v>231756.66669320478</v>
      </c>
      <c r="L6" s="22">
        <f t="shared" si="3"/>
        <v>1059323.7957849982</v>
      </c>
    </row>
    <row r="7" spans="1:12" x14ac:dyDescent="0.25">
      <c r="A7" s="3">
        <v>6</v>
      </c>
      <c r="B7" s="5">
        <f>'iWoTab EKneu'!C22</f>
        <v>480014.39194367349</v>
      </c>
      <c r="C7" s="27">
        <f>iWoDarl!C15</f>
        <v>85289.815297326408</v>
      </c>
      <c r="D7" s="1">
        <f>'iWoTab EKneu'!G22</f>
        <v>13745.401910206941</v>
      </c>
      <c r="E7" s="1">
        <f>'iWoTab EKneu'!H22</f>
        <v>31988.983247984354</v>
      </c>
      <c r="F7" s="1">
        <f>'iWoTab EKneu'!I22</f>
        <v>9600.2878388734698</v>
      </c>
      <c r="G7" s="1">
        <f>'iWoTab EKneu'!K22</f>
        <v>0.81309151134335378</v>
      </c>
      <c r="H7" s="27">
        <f t="shared" si="2"/>
        <v>4419112.5</v>
      </c>
      <c r="I7" s="4">
        <v>2</v>
      </c>
      <c r="J7" s="29">
        <f t="shared" si="1"/>
        <v>98202.5</v>
      </c>
      <c r="K7" s="22">
        <f t="shared" si="0"/>
        <v>241186.59055777098</v>
      </c>
      <c r="L7" s="22">
        <f t="shared" si="3"/>
        <v>1300510.3863427693</v>
      </c>
    </row>
    <row r="8" spans="1:12" x14ac:dyDescent="0.25">
      <c r="A8" s="3">
        <v>7</v>
      </c>
      <c r="B8" s="5">
        <f>'iWoTab EKneu'!C23</f>
        <v>485774.56464699755</v>
      </c>
      <c r="C8" s="27">
        <f>iWoDarl!C16</f>
        <v>80357.891163740132</v>
      </c>
      <c r="D8" s="1">
        <f>'iWoTab EKneu'!G23</f>
        <v>13951.582938860045</v>
      </c>
      <c r="E8" s="1">
        <f>'iWoTab EKneu'!H23</f>
        <v>32788.707829183957</v>
      </c>
      <c r="F8" s="1">
        <f>'iWoTab EKneu'!I23</f>
        <v>9715.4912929399507</v>
      </c>
      <c r="G8" s="1">
        <f>'iWoTab EKneu'!K23</f>
        <v>0.78940923431393573</v>
      </c>
      <c r="H8" s="27">
        <f t="shared" si="2"/>
        <v>4320910</v>
      </c>
      <c r="I8" s="4">
        <v>2</v>
      </c>
      <c r="J8" s="29">
        <f t="shared" si="1"/>
        <v>98202.5</v>
      </c>
      <c r="K8" s="22">
        <f t="shared" si="0"/>
        <v>250757.60201303917</v>
      </c>
      <c r="L8" s="22">
        <f t="shared" si="3"/>
        <v>1551267.9883558084</v>
      </c>
    </row>
    <row r="9" spans="1:12" x14ac:dyDescent="0.25">
      <c r="A9" s="3">
        <v>8</v>
      </c>
      <c r="B9" s="5">
        <f>'iWoTab EKneu'!C24</f>
        <v>491603.85942276154</v>
      </c>
      <c r="C9" s="27">
        <f>iWoDarl!C17</f>
        <v>75327.328547482146</v>
      </c>
      <c r="D9" s="1">
        <f>'iWoTab EKneu'!G24</f>
        <v>14160.856682942944</v>
      </c>
      <c r="E9" s="1">
        <f>'iWoTab EKneu'!H24</f>
        <v>33608.425524913553</v>
      </c>
      <c r="F9" s="1">
        <f>'iWoTab EKneu'!I24</f>
        <v>9832.0771884552305</v>
      </c>
      <c r="G9" s="1">
        <f>'iWoTab EKneu'!K24</f>
        <v>0.76641673234362695</v>
      </c>
      <c r="H9" s="27">
        <f t="shared" si="2"/>
        <v>4222707.5</v>
      </c>
      <c r="I9" s="4">
        <v>2</v>
      </c>
      <c r="J9" s="29">
        <f t="shared" si="1"/>
        <v>98202.5</v>
      </c>
      <c r="K9" s="22">
        <f t="shared" si="0"/>
        <v>260471.90506223537</v>
      </c>
      <c r="L9" s="22">
        <f t="shared" si="3"/>
        <v>1811739.8934180439</v>
      </c>
    </row>
    <row r="10" spans="1:12" x14ac:dyDescent="0.25">
      <c r="A10" s="3">
        <v>9</v>
      </c>
      <c r="B10" s="5">
        <f>'iWoTab EKneu'!C25</f>
        <v>497503.10573583469</v>
      </c>
      <c r="C10" s="27">
        <f>iWoDarl!C18</f>
        <v>70196.154678898994</v>
      </c>
      <c r="D10" s="1">
        <f>'iWoTab EKneu'!G25</f>
        <v>14373.269533187087</v>
      </c>
      <c r="E10" s="1">
        <f>'iWoTab EKneu'!H25</f>
        <v>34448.63616303639</v>
      </c>
      <c r="F10" s="1">
        <f>'iWoTab EKneu'!I25</f>
        <v>9950.0621147166949</v>
      </c>
      <c r="G10" s="1">
        <f>'iWoTab EKneu'!K25</f>
        <v>0.74409391489672516</v>
      </c>
      <c r="H10" s="27">
        <f t="shared" si="2"/>
        <v>4124505</v>
      </c>
      <c r="I10" s="4">
        <v>2</v>
      </c>
      <c r="J10" s="29">
        <f t="shared" si="1"/>
        <v>98202.5</v>
      </c>
      <c r="K10" s="22">
        <f t="shared" si="0"/>
        <v>270331.73915208061</v>
      </c>
      <c r="L10" s="22">
        <f t="shared" si="3"/>
        <v>2082071.6325701245</v>
      </c>
    </row>
    <row r="11" spans="1:12" x14ac:dyDescent="0.25">
      <c r="A11" s="3">
        <v>10</v>
      </c>
      <c r="B11" s="5">
        <f>'iWoTab EKneu'!C26</f>
        <v>501980.63368745713</v>
      </c>
      <c r="C11" s="27">
        <f>iWoDarl!C19</f>
        <v>64962.357332944172</v>
      </c>
      <c r="D11" s="1">
        <f>'iWoTab EKneu'!G26</f>
        <v>14588.868576184892</v>
      </c>
      <c r="E11" s="1">
        <f>'iWoTab EKneu'!H26</f>
        <v>35309.852067112297</v>
      </c>
      <c r="F11" s="1">
        <f>'iWoTab EKneu'!I26</f>
        <v>10039.612673749143</v>
      </c>
      <c r="G11" s="1">
        <f>'iWoTab EKneu'!K26</f>
        <v>0.72242127659876232</v>
      </c>
      <c r="H11" s="27">
        <f t="shared" si="2"/>
        <v>4026302.5</v>
      </c>
      <c r="I11" s="4">
        <v>2</v>
      </c>
      <c r="J11" s="29">
        <f t="shared" si="1"/>
        <v>98202.5</v>
      </c>
      <c r="K11" s="22">
        <f t="shared" si="0"/>
        <v>278876.72061619</v>
      </c>
      <c r="L11" s="22">
        <f t="shared" si="3"/>
        <v>2360948.3531863145</v>
      </c>
    </row>
    <row r="12" spans="1:12" x14ac:dyDescent="0.25">
      <c r="A12" s="3">
        <v>11</v>
      </c>
      <c r="B12" s="5">
        <f>'iWoTab EKneu'!C27</f>
        <v>506498.45939064422</v>
      </c>
      <c r="C12" s="27">
        <f>iWoDarl!C20</f>
        <v>59623.884040070254</v>
      </c>
      <c r="D12" s="1">
        <f>'iWoTab EKneu'!G27</f>
        <v>14807.701604827664</v>
      </c>
      <c r="E12" s="1">
        <f>'iWoTab EKneu'!H27</f>
        <v>36192.598368790103</v>
      </c>
      <c r="F12" s="1">
        <f>'iWoTab EKneu'!I27</f>
        <v>10129.969187812885</v>
      </c>
      <c r="G12" s="1">
        <f>'iWoTab EKneu'!K27</f>
        <v>0.70137988019297326</v>
      </c>
      <c r="H12" s="27">
        <f t="shared" si="2"/>
        <v>3928100</v>
      </c>
      <c r="I12" s="4">
        <v>2</v>
      </c>
      <c r="J12" s="29">
        <f t="shared" si="1"/>
        <v>98202.5</v>
      </c>
      <c r="K12" s="22">
        <f t="shared" si="0"/>
        <v>287541.10480926314</v>
      </c>
      <c r="L12" s="22">
        <f t="shared" si="3"/>
        <v>2648489.4579955777</v>
      </c>
    </row>
    <row r="13" spans="1:12" x14ac:dyDescent="0.25">
      <c r="A13" s="3">
        <v>12</v>
      </c>
      <c r="B13" s="5">
        <f>'iWoTab EKneu'!C28</f>
        <v>511056.94552515994</v>
      </c>
      <c r="C13" s="27">
        <f>iWoDarl!C21</f>
        <v>54178.641281338852</v>
      </c>
      <c r="D13" s="1">
        <f>'iWoTab EKneu'!G28</f>
        <v>15029.817128900077</v>
      </c>
      <c r="E13" s="1">
        <f>'iWoTab EKneu'!H28</f>
        <v>37097.413328009854</v>
      </c>
      <c r="F13" s="1">
        <f>'iWoTab EKneu'!I28</f>
        <v>10221.138910503199</v>
      </c>
      <c r="G13" s="1">
        <f>'iWoTab EKneu'!K28</f>
        <v>0.68095133999317792</v>
      </c>
      <c r="H13" s="27">
        <f t="shared" si="2"/>
        <v>3829897.5</v>
      </c>
      <c r="I13" s="4">
        <v>2</v>
      </c>
      <c r="J13" s="29">
        <f t="shared" si="1"/>
        <v>98202.5</v>
      </c>
      <c r="K13" s="22">
        <f t="shared" si="0"/>
        <v>296326.75392506795</v>
      </c>
      <c r="L13" s="22">
        <f t="shared" si="3"/>
        <v>2944816.2119206456</v>
      </c>
    </row>
    <row r="14" spans="1:12" x14ac:dyDescent="0.25">
      <c r="A14" s="3">
        <v>13</v>
      </c>
      <c r="B14" s="5">
        <f>'iWoTab EKneu'!C29</f>
        <v>515656.45803488634</v>
      </c>
      <c r="C14" s="27">
        <f>iWoDarl!C22</f>
        <v>48624.493667432835</v>
      </c>
      <c r="D14" s="1">
        <f>'iWoTab EKneu'!G29</f>
        <v>15255.264385833576</v>
      </c>
      <c r="E14" s="1">
        <f>'iWoTab EKneu'!H29</f>
        <v>38024.848661210097</v>
      </c>
      <c r="F14" s="1">
        <f>'iWoTab EKneu'!I29</f>
        <v>10313.129160697727</v>
      </c>
      <c r="G14" s="1">
        <f>'iWoTab EKneu'!K29</f>
        <v>0.66111780581861923</v>
      </c>
      <c r="H14" s="27">
        <f t="shared" si="2"/>
        <v>3731695</v>
      </c>
      <c r="I14" s="4">
        <v>2</v>
      </c>
      <c r="J14" s="29">
        <f t="shared" si="1"/>
        <v>98202.5</v>
      </c>
      <c r="K14" s="22">
        <f t="shared" si="0"/>
        <v>305235.56104190624</v>
      </c>
      <c r="L14" s="22">
        <f t="shared" si="3"/>
        <v>3250051.7729625516</v>
      </c>
    </row>
    <row r="15" spans="1:12" x14ac:dyDescent="0.25">
      <c r="A15" s="3">
        <v>14</v>
      </c>
      <c r="B15" s="5">
        <f>'iWoTab EKneu'!C30</f>
        <v>520297.36615720025</v>
      </c>
      <c r="C15" s="27">
        <f>iWoDarl!C23</f>
        <v>42959.263101248682</v>
      </c>
      <c r="D15" s="1">
        <f>'iWoTab EKneu'!G30</f>
        <v>15484.093351621079</v>
      </c>
      <c r="E15" s="1">
        <f>'iWoTab EKneu'!H30</f>
        <v>38975.469877740346</v>
      </c>
      <c r="F15" s="1">
        <f>'iWoTab EKneu'!I30</f>
        <v>10405.947323144004</v>
      </c>
      <c r="G15" s="1">
        <f>'iWoTab EKneu'!K30</f>
        <v>0.64186194739671765</v>
      </c>
      <c r="H15" s="27">
        <f t="shared" si="2"/>
        <v>3633492.5</v>
      </c>
      <c r="I15" s="4">
        <v>2</v>
      </c>
      <c r="J15" s="29">
        <f t="shared" si="1"/>
        <v>98202.5</v>
      </c>
      <c r="K15" s="22">
        <f t="shared" si="0"/>
        <v>314269.45064149873</v>
      </c>
      <c r="L15" s="22">
        <f t="shared" si="3"/>
        <v>3564321.2236040505</v>
      </c>
    </row>
    <row r="16" spans="1:12" x14ac:dyDescent="0.25">
      <c r="A16" s="3">
        <v>15</v>
      </c>
      <c r="B16" s="5">
        <f>'iWoTab EKneu'!C31</f>
        <v>523419.15035414346</v>
      </c>
      <c r="C16" s="27">
        <f>iWoDarl!C24</f>
        <v>37180.727923740858</v>
      </c>
      <c r="D16" s="1">
        <f>'iWoTab EKneu'!G31</f>
        <v>15716.354751895393</v>
      </c>
      <c r="E16" s="1">
        <f>'iWoTab EKneu'!H31</f>
        <v>39949.856624683853</v>
      </c>
      <c r="F16" s="1">
        <f>'iWoTab EKneu'!I31</f>
        <v>10468.38300708287</v>
      </c>
      <c r="G16" s="1">
        <f>'iWoTab EKneu'!K31</f>
        <v>0.62316693922011435</v>
      </c>
      <c r="H16" s="27">
        <f t="shared" si="2"/>
        <v>3535290</v>
      </c>
      <c r="I16" s="4">
        <v>2</v>
      </c>
      <c r="J16" s="29">
        <f t="shared" si="1"/>
        <v>98202.5</v>
      </c>
      <c r="K16" s="22">
        <f t="shared" si="0"/>
        <v>321900.70487980125</v>
      </c>
      <c r="L16" s="22">
        <f t="shared" si="3"/>
        <v>3886221.9284838517</v>
      </c>
    </row>
    <row r="17" spans="1:12" x14ac:dyDescent="0.25">
      <c r="A17" s="3">
        <v>16</v>
      </c>
      <c r="B17" s="5">
        <f>'iWoTab EKneu'!C32</f>
        <v>526559.66525626834</v>
      </c>
      <c r="C17" s="27">
        <f>iWoDarl!C25</f>
        <v>31286.622042682873</v>
      </c>
      <c r="D17" s="1">
        <f>'iWoTab EKneu'!G32</f>
        <v>15952.100073173822</v>
      </c>
      <c r="E17" s="1">
        <f>'iWoTab EKneu'!H32</f>
        <v>40948.603040300943</v>
      </c>
      <c r="F17" s="1">
        <f>'iWoTab EKneu'!I32</f>
        <v>10531.193305125367</v>
      </c>
      <c r="G17" s="1">
        <f>'iWoTab EKneu'!K32</f>
        <v>0.60501644584477121</v>
      </c>
      <c r="H17" s="27">
        <f t="shared" si="2"/>
        <v>3437087.5</v>
      </c>
      <c r="I17" s="4">
        <v>2</v>
      </c>
      <c r="J17" s="29">
        <f t="shared" si="1"/>
        <v>98202.5</v>
      </c>
      <c r="K17" s="22">
        <f t="shared" si="0"/>
        <v>329638.04177853948</v>
      </c>
      <c r="L17" s="22">
        <f t="shared" si="3"/>
        <v>4215859.9702623915</v>
      </c>
    </row>
    <row r="18" spans="1:12" x14ac:dyDescent="0.25">
      <c r="A18" s="3">
        <v>17</v>
      </c>
      <c r="B18" s="5">
        <f>'iWoTab EKneu'!C33</f>
        <v>529719.02324780601</v>
      </c>
      <c r="C18" s="27">
        <f>iWoDarl!C26</f>
        <v>25274.634044003735</v>
      </c>
      <c r="D18" s="1">
        <f>'iWoTab EKneu'!G33</f>
        <v>16191.381574271429</v>
      </c>
      <c r="E18" s="1">
        <f>'iWoTab EKneu'!H33</f>
        <v>41972.318116308459</v>
      </c>
      <c r="F18" s="1">
        <f>'iWoTab EKneu'!I33</f>
        <v>10594.380464956121</v>
      </c>
      <c r="G18" s="1">
        <f>'iWoTab EKneu'!K33</f>
        <v>0.5873946076162827</v>
      </c>
      <c r="H18" s="27">
        <f t="shared" si="2"/>
        <v>3338885</v>
      </c>
      <c r="I18" s="4">
        <v>2</v>
      </c>
      <c r="J18" s="29">
        <f t="shared" si="1"/>
        <v>98202.5</v>
      </c>
      <c r="K18" s="22">
        <f t="shared" si="0"/>
        <v>337483.22165365866</v>
      </c>
      <c r="L18" s="22">
        <f t="shared" si="3"/>
        <v>4553343.1919160504</v>
      </c>
    </row>
    <row r="19" spans="1:12" x14ac:dyDescent="0.25">
      <c r="A19" s="3">
        <v>18</v>
      </c>
      <c r="B19" s="5">
        <f>'iWoTab EKneu'!C34</f>
        <v>532897.33738729288</v>
      </c>
      <c r="C19" s="27">
        <f>iWoDarl!C27</f>
        <v>19142.406285351008</v>
      </c>
      <c r="D19" s="1">
        <f>'iWoTab EKneu'!G34</f>
        <v>16434.252297885498</v>
      </c>
      <c r="E19" s="1">
        <f>'iWoTab EKneu'!H34</f>
        <v>43021.626069216167</v>
      </c>
      <c r="F19" s="1">
        <f>'iWoTab EKneu'!I34</f>
        <v>10657.946747745858</v>
      </c>
      <c r="G19" s="1">
        <f>'iWoTab EKneu'!K34</f>
        <v>0.57028602681192497</v>
      </c>
      <c r="H19" s="27">
        <f t="shared" si="2"/>
        <v>3240682.5</v>
      </c>
      <c r="I19" s="4">
        <v>2</v>
      </c>
      <c r="J19" s="29">
        <f t="shared" si="1"/>
        <v>98202.5</v>
      </c>
      <c r="K19" s="22">
        <f t="shared" si="0"/>
        <v>345438.03570106754</v>
      </c>
      <c r="L19" s="22">
        <f t="shared" si="3"/>
        <v>4898781.2276171176</v>
      </c>
    </row>
    <row r="20" spans="1:12" x14ac:dyDescent="0.25">
      <c r="A20" s="3">
        <v>19</v>
      </c>
      <c r="B20" s="5">
        <f>'iWoTab EKneu'!C35</f>
        <v>536094.72141161666</v>
      </c>
      <c r="C20" s="27">
        <f>iWoDarl!C28</f>
        <v>12887.533971525228</v>
      </c>
      <c r="D20" s="1">
        <f>'iWoTab EKneu'!G35</f>
        <v>16680.766082353777</v>
      </c>
      <c r="E20" s="1">
        <f>'iWoTab EKneu'!H35</f>
        <v>44097.166720946567</v>
      </c>
      <c r="F20" s="1">
        <f>'iWoTab EKneu'!I35</f>
        <v>10721.894428232334</v>
      </c>
      <c r="G20" s="1">
        <f>'iWoTab EKneu'!K35</f>
        <v>0.55367575418633497</v>
      </c>
      <c r="H20" s="27">
        <f t="shared" si="2"/>
        <v>3142480</v>
      </c>
      <c r="I20" s="4">
        <v>2</v>
      </c>
      <c r="J20" s="29">
        <f t="shared" si="1"/>
        <v>98202.5</v>
      </c>
      <c r="K20" s="22">
        <f t="shared" si="0"/>
        <v>353504.30653280462</v>
      </c>
      <c r="L20" s="22">
        <f t="shared" si="3"/>
        <v>5252285.5341499224</v>
      </c>
    </row>
    <row r="21" spans="1:12" x14ac:dyDescent="0.25">
      <c r="A21" s="3">
        <v>20</v>
      </c>
      <c r="B21" s="5">
        <f>'iWoTab EKneu'!C36</f>
        <v>0</v>
      </c>
      <c r="C21" s="27">
        <f>iWoDarl!C29</f>
        <v>6507.5642114229322</v>
      </c>
      <c r="D21" s="1">
        <f>'iWoTab EKneu'!G36</f>
        <v>0</v>
      </c>
      <c r="E21" s="1">
        <f>'iWoTab EKneu'!H36</f>
        <v>0</v>
      </c>
      <c r="F21" s="1">
        <f>'iWoTab EKneu'!I36</f>
        <v>0</v>
      </c>
      <c r="G21" s="1">
        <f>'iWoTab EKneu'!K36</f>
        <v>0</v>
      </c>
      <c r="H21" s="27">
        <f t="shared" si="2"/>
        <v>3044277.5</v>
      </c>
      <c r="I21" s="4">
        <v>2</v>
      </c>
      <c r="J21" s="29">
        <f t="shared" si="1"/>
        <v>98202.5</v>
      </c>
      <c r="K21" s="22">
        <f t="shared" si="0"/>
        <v>-104710.06421142293</v>
      </c>
      <c r="L21" s="22">
        <f t="shared" si="3"/>
        <v>5147575.4699384999</v>
      </c>
    </row>
    <row r="27" spans="1:12" x14ac:dyDescent="0.25">
      <c r="C27" t="s">
        <v>133</v>
      </c>
      <c r="D27" s="1">
        <f>'iWoTab EKneu'!$B$35-H21</f>
        <v>3150321.0890677869</v>
      </c>
    </row>
    <row r="28" spans="1:12" x14ac:dyDescent="0.25">
      <c r="C28" t="s">
        <v>134</v>
      </c>
      <c r="D28" s="1">
        <f>D27*0.35</f>
        <v>1102612.3811737252</v>
      </c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="120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D1" sqref="D1"/>
    </sheetView>
  </sheetViews>
  <sheetFormatPr baseColWidth="10" defaultRowHeight="13.2" x14ac:dyDescent="0.25"/>
  <cols>
    <col min="1" max="1" width="5.33203125" bestFit="1" customWidth="1"/>
    <col min="2" max="2" width="7.5546875" customWidth="1"/>
    <col min="3" max="3" width="11.88671875" customWidth="1"/>
    <col min="4" max="4" width="7.5546875" customWidth="1"/>
    <col min="5" max="5" width="6.5546875" customWidth="1"/>
    <col min="6" max="6" width="8" customWidth="1"/>
    <col min="7" max="7" width="6.77734375" customWidth="1"/>
    <col min="8" max="8" width="6.5546875" customWidth="1"/>
    <col min="9" max="9" width="9.77734375" customWidth="1"/>
    <col min="10" max="10" width="9.109375" customWidth="1"/>
    <col min="11" max="11" width="7.77734375" customWidth="1"/>
    <col min="12" max="12" width="8.88671875" customWidth="1"/>
    <col min="13" max="13" width="8.21875" customWidth="1"/>
    <col min="14" max="14" width="9.77734375" customWidth="1"/>
  </cols>
  <sheetData>
    <row r="1" spans="1:14" x14ac:dyDescent="0.25">
      <c r="B1" s="13" t="s">
        <v>146</v>
      </c>
      <c r="D1">
        <v>0.03</v>
      </c>
    </row>
    <row r="2" spans="1:14" x14ac:dyDescent="0.25">
      <c r="B2" s="13" t="s">
        <v>144</v>
      </c>
      <c r="D2" s="4">
        <v>0.02</v>
      </c>
    </row>
    <row r="3" spans="1:14" x14ac:dyDescent="0.25">
      <c r="B3" t="s">
        <v>137</v>
      </c>
      <c r="D3" s="4">
        <v>0.35</v>
      </c>
      <c r="E3" s="4"/>
    </row>
    <row r="6" spans="1:14" x14ac:dyDescent="0.25">
      <c r="A6" s="12" t="s">
        <v>88</v>
      </c>
      <c r="B6" s="12" t="s">
        <v>93</v>
      </c>
      <c r="C6" s="12" t="s">
        <v>129</v>
      </c>
      <c r="D6" s="12" t="s">
        <v>126</v>
      </c>
      <c r="E6" s="12" t="s">
        <v>96</v>
      </c>
      <c r="F6" s="12" t="s">
        <v>103</v>
      </c>
      <c r="G6" s="12" t="s">
        <v>95</v>
      </c>
      <c r="H6" s="12" t="s">
        <v>136</v>
      </c>
      <c r="I6" s="12" t="s">
        <v>140</v>
      </c>
      <c r="J6" s="26" t="s">
        <v>131</v>
      </c>
      <c r="K6" s="28" t="s">
        <v>127</v>
      </c>
      <c r="L6" s="12" t="s">
        <v>138</v>
      </c>
      <c r="M6" s="12" t="s">
        <v>139</v>
      </c>
      <c r="N6" s="12" t="s">
        <v>145</v>
      </c>
    </row>
    <row r="7" spans="1:14" x14ac:dyDescent="0.25">
      <c r="A7" s="23">
        <v>0</v>
      </c>
      <c r="B7" s="12"/>
      <c r="C7" s="12"/>
      <c r="D7" s="12"/>
      <c r="E7" s="12"/>
      <c r="F7" s="12"/>
      <c r="G7" s="12"/>
      <c r="H7" s="12"/>
      <c r="I7" s="9">
        <f>iWoDat!$D$12*(-1)</f>
        <v>-1808938</v>
      </c>
      <c r="J7" s="26"/>
      <c r="K7" s="28"/>
      <c r="L7" s="12"/>
      <c r="M7" s="12"/>
      <c r="N7" s="18">
        <f>I7</f>
        <v>-1808938</v>
      </c>
    </row>
    <row r="8" spans="1:14" x14ac:dyDescent="0.25">
      <c r="A8" s="3">
        <v>1</v>
      </c>
      <c r="B8" s="42">
        <f>'iWoTab EKneu'!C16</f>
        <v>441600</v>
      </c>
      <c r="C8" s="39">
        <f>iWoDarl!C10</f>
        <v>108536.24</v>
      </c>
      <c r="D8" s="30">
        <f>iWoDarl!D10</f>
        <v>223349.78197663999</v>
      </c>
      <c r="E8" s="40">
        <f>'iWoTab EKneu'!G16</f>
        <v>12570.750000000002</v>
      </c>
      <c r="F8" s="40">
        <f>'iWoTab EKneu'!H16</f>
        <v>27583.999999999996</v>
      </c>
      <c r="G8" s="40">
        <f>'iWoTab EKneu'!I16</f>
        <v>8832</v>
      </c>
      <c r="H8" s="41">
        <f>SUM(E8:G8)</f>
        <v>48986.75</v>
      </c>
      <c r="I8" s="1">
        <f>B8-C8-H8-D8</f>
        <v>60727.228023360018</v>
      </c>
      <c r="J8" s="27">
        <f>iWoHK!$B$24</f>
        <v>4910125</v>
      </c>
      <c r="K8" s="43">
        <f>$J$8*$D$2</f>
        <v>98202.5</v>
      </c>
      <c r="L8" s="22">
        <f>B8-C8-H8-K8</f>
        <v>185874.51</v>
      </c>
      <c r="M8" s="1">
        <f>L8*$D$3*(-1)</f>
        <v>-65056.078499999996</v>
      </c>
      <c r="N8" s="1">
        <f>I8+M8</f>
        <v>-4328.8504766399783</v>
      </c>
    </row>
    <row r="9" spans="1:14" x14ac:dyDescent="0.25">
      <c r="A9" s="3">
        <v>2</v>
      </c>
      <c r="B9" s="42">
        <f>'iWoTab EKneu'!C17</f>
        <v>448223.99999999994</v>
      </c>
      <c r="C9" s="39">
        <f>iWoDarl!C11</f>
        <v>104069.2443604672</v>
      </c>
      <c r="D9" s="30">
        <f>iWoDarl!D11</f>
        <v>227816.7776161728</v>
      </c>
      <c r="E9" s="40">
        <f>'iWoTab EKneu'!G17</f>
        <v>12759.311250000001</v>
      </c>
      <c r="F9" s="40">
        <f>'iWoTab EKneu'!H17</f>
        <v>28273.599999999995</v>
      </c>
      <c r="G9" s="40">
        <f>'iWoTab EKneu'!I17</f>
        <v>8964.48</v>
      </c>
      <c r="H9" s="41">
        <f>SUM(E9:G9)</f>
        <v>49997.391250000001</v>
      </c>
      <c r="I9" s="1">
        <f t="shared" ref="I9:I27" si="0">B9-C9-H9-D9</f>
        <v>66340.586773359973</v>
      </c>
      <c r="J9" s="27">
        <f t="shared" ref="J9:J27" si="1">J8-K8</f>
        <v>4811922.5</v>
      </c>
      <c r="K9" s="43">
        <f t="shared" ref="K9:K27" si="2">$J$8*$D$2</f>
        <v>98202.5</v>
      </c>
      <c r="L9" s="22">
        <f>B9-C9-H9-K9</f>
        <v>195954.86438953277</v>
      </c>
      <c r="M9" s="1">
        <f t="shared" ref="M9:M27" si="3">L9*$D$3*(-1)</f>
        <v>-68584.202536336466</v>
      </c>
      <c r="N9" s="1">
        <f t="shared" ref="N9:N27" si="4">I9+M9</f>
        <v>-2243.615762976493</v>
      </c>
    </row>
    <row r="10" spans="1:14" x14ac:dyDescent="0.25">
      <c r="A10" s="3">
        <v>3</v>
      </c>
      <c r="B10" s="42">
        <f>'iWoTab EKneu'!C18</f>
        <v>454947.35999999987</v>
      </c>
      <c r="C10" s="39">
        <f>iWoDarl!C12</f>
        <v>99512.908808143737</v>
      </c>
      <c r="D10" s="30">
        <f>iWoDarl!D12</f>
        <v>232373.11316849623</v>
      </c>
      <c r="E10" s="40">
        <f>'iWoTab EKneu'!G18</f>
        <v>12950.700918749999</v>
      </c>
      <c r="F10" s="40">
        <f>'iWoTab EKneu'!H18</f>
        <v>28980.439999999991</v>
      </c>
      <c r="G10" s="40">
        <f>'iWoTab EKneu'!I18</f>
        <v>9098.9471999999969</v>
      </c>
      <c r="H10" s="41">
        <f t="shared" ref="H10:H27" si="5">SUM(E10:G10)</f>
        <v>51030.088118749984</v>
      </c>
      <c r="I10" s="1">
        <f t="shared" si="0"/>
        <v>72031.249904609926</v>
      </c>
      <c r="J10" s="27">
        <f t="shared" si="1"/>
        <v>4713720</v>
      </c>
      <c r="K10" s="43">
        <f t="shared" si="2"/>
        <v>98202.5</v>
      </c>
      <c r="L10" s="22">
        <f t="shared" ref="L10:L27" si="6">B10-C10-H10-K10</f>
        <v>206201.86307310616</v>
      </c>
      <c r="M10" s="1">
        <f t="shared" si="3"/>
        <v>-72170.652075587146</v>
      </c>
      <c r="N10" s="1">
        <f t="shared" si="4"/>
        <v>-139.40217097722052</v>
      </c>
    </row>
    <row r="11" spans="1:14" x14ac:dyDescent="0.25">
      <c r="A11" s="3">
        <v>4</v>
      </c>
      <c r="B11" s="42">
        <f>'iWoTab EKneu'!C19</f>
        <v>461771.57039999985</v>
      </c>
      <c r="C11" s="39">
        <f>iWoDarl!C13</f>
        <v>94865.446544773804</v>
      </c>
      <c r="D11" s="30">
        <f>iWoDarl!D13</f>
        <v>237020.57543186616</v>
      </c>
      <c r="E11" s="40">
        <f>'iWoTab EKneu'!G19</f>
        <v>13144.961432531247</v>
      </c>
      <c r="F11" s="40">
        <f>'iWoTab EKneu'!H19</f>
        <v>29704.95099999999</v>
      </c>
      <c r="G11" s="40">
        <f>'iWoTab EKneu'!I19</f>
        <v>9235.4314079999967</v>
      </c>
      <c r="H11" s="41">
        <f t="shared" si="5"/>
        <v>52085.343840531234</v>
      </c>
      <c r="I11" s="1">
        <f t="shared" si="0"/>
        <v>77800.204582828621</v>
      </c>
      <c r="J11" s="27">
        <f t="shared" si="1"/>
        <v>4615517.5</v>
      </c>
      <c r="K11" s="43">
        <f t="shared" si="2"/>
        <v>98202.5</v>
      </c>
      <c r="L11" s="22">
        <f t="shared" si="6"/>
        <v>216618.28001469478</v>
      </c>
      <c r="M11" s="1">
        <f t="shared" si="3"/>
        <v>-75816.398005143172</v>
      </c>
      <c r="N11" s="1">
        <f t="shared" si="4"/>
        <v>1983.8065776854492</v>
      </c>
    </row>
    <row r="12" spans="1:14" x14ac:dyDescent="0.25">
      <c r="A12" s="3">
        <v>5</v>
      </c>
      <c r="B12" s="42">
        <f>'iWoTab EKneu'!C20</f>
        <v>468698.14395599981</v>
      </c>
      <c r="C12" s="39">
        <f>iWoDarl!C14</f>
        <v>90125.035036136469</v>
      </c>
      <c r="D12" s="30">
        <f>iWoDarl!D14</f>
        <v>241760.98694050353</v>
      </c>
      <c r="E12" s="40">
        <f>'iWoTab EKneu'!G20</f>
        <v>13342.135854019214</v>
      </c>
      <c r="F12" s="40">
        <f>'iWoTab EKneu'!H20</f>
        <v>30447.574774999986</v>
      </c>
      <c r="G12" s="40">
        <f>'iWoTab EKneu'!I20</f>
        <v>9373.9628791199957</v>
      </c>
      <c r="H12" s="41">
        <f t="shared" si="5"/>
        <v>53163.673508139196</v>
      </c>
      <c r="I12" s="1">
        <f t="shared" si="0"/>
        <v>83648.448471220618</v>
      </c>
      <c r="J12" s="27">
        <f t="shared" si="1"/>
        <v>4517315</v>
      </c>
      <c r="K12" s="43">
        <f t="shared" si="2"/>
        <v>98202.5</v>
      </c>
      <c r="L12" s="22">
        <f t="shared" si="6"/>
        <v>227206.93541172415</v>
      </c>
      <c r="M12" s="1">
        <f t="shared" si="3"/>
        <v>-79522.427394103448</v>
      </c>
      <c r="N12" s="1">
        <f t="shared" si="4"/>
        <v>4126.0210771171696</v>
      </c>
    </row>
    <row r="13" spans="1:14" x14ac:dyDescent="0.25">
      <c r="A13" s="3">
        <v>6</v>
      </c>
      <c r="B13" s="42">
        <f>'iWoTab EKneu'!C21</f>
        <v>474322.5216834718</v>
      </c>
      <c r="C13" s="39">
        <f>iWoDarl!C15</f>
        <v>85289.815297326408</v>
      </c>
      <c r="D13" s="30">
        <f>iWoDarl!D15</f>
        <v>246596.20667931356</v>
      </c>
      <c r="E13" s="40">
        <f>'iWoTab EKneu'!G21</f>
        <v>13542.267891829501</v>
      </c>
      <c r="F13" s="40">
        <f>'iWoTab EKneu'!H21</f>
        <v>31208.764144374982</v>
      </c>
      <c r="G13" s="40">
        <f>'iWoTab EKneu'!I21</f>
        <v>9486.4504336694354</v>
      </c>
      <c r="H13" s="41">
        <f t="shared" si="5"/>
        <v>54237.482469873918</v>
      </c>
      <c r="I13" s="1">
        <f t="shared" si="0"/>
        <v>88199.017236957909</v>
      </c>
      <c r="J13" s="27">
        <f t="shared" si="1"/>
        <v>4419112.5</v>
      </c>
      <c r="K13" s="43">
        <f t="shared" si="2"/>
        <v>98202.5</v>
      </c>
      <c r="L13" s="22">
        <f t="shared" si="6"/>
        <v>236592.72391627147</v>
      </c>
      <c r="M13" s="1">
        <f t="shared" si="3"/>
        <v>-82807.453370695002</v>
      </c>
      <c r="N13" s="1">
        <f t="shared" si="4"/>
        <v>5391.5638662629062</v>
      </c>
    </row>
    <row r="14" spans="1:14" x14ac:dyDescent="0.25">
      <c r="A14" s="3">
        <v>7</v>
      </c>
      <c r="B14" s="42">
        <f>'iWoTab EKneu'!C22</f>
        <v>480014.39194367349</v>
      </c>
      <c r="C14" s="39">
        <f>iWoDarl!C16</f>
        <v>80357.891163740132</v>
      </c>
      <c r="D14" s="30">
        <f>iWoDarl!D16</f>
        <v>251528.13081289985</v>
      </c>
      <c r="E14" s="40">
        <f>'iWoTab EKneu'!G22</f>
        <v>13745.401910206941</v>
      </c>
      <c r="F14" s="40">
        <f>'iWoTab EKneu'!H22</f>
        <v>31988.983247984354</v>
      </c>
      <c r="G14" s="40">
        <f>'iWoTab EKneu'!I22</f>
        <v>9600.2878388734698</v>
      </c>
      <c r="H14" s="41">
        <f t="shared" si="5"/>
        <v>55334.672997064765</v>
      </c>
      <c r="I14" s="1">
        <f t="shared" si="0"/>
        <v>92793.696969968732</v>
      </c>
      <c r="J14" s="27">
        <f t="shared" si="1"/>
        <v>4320910</v>
      </c>
      <c r="K14" s="43">
        <f t="shared" si="2"/>
        <v>98202.5</v>
      </c>
      <c r="L14" s="22">
        <f t="shared" si="6"/>
        <v>246119.32778286858</v>
      </c>
      <c r="M14" s="1">
        <f t="shared" si="3"/>
        <v>-86141.764724003995</v>
      </c>
      <c r="N14" s="1">
        <f t="shared" si="4"/>
        <v>6651.9322459647374</v>
      </c>
    </row>
    <row r="15" spans="1:14" x14ac:dyDescent="0.25">
      <c r="A15" s="3">
        <v>8</v>
      </c>
      <c r="B15" s="42">
        <f>'iWoTab EKneu'!C23</f>
        <v>485774.56464699755</v>
      </c>
      <c r="C15" s="39">
        <f>iWoDarl!C17</f>
        <v>75327.328547482146</v>
      </c>
      <c r="D15" s="30">
        <f>iWoDarl!D17</f>
        <v>256558.69342915784</v>
      </c>
      <c r="E15" s="40">
        <f>'iWoTab EKneu'!G23</f>
        <v>13951.582938860045</v>
      </c>
      <c r="F15" s="40">
        <f>'iWoTab EKneu'!H23</f>
        <v>32788.707829183957</v>
      </c>
      <c r="G15" s="40">
        <f>'iWoTab EKneu'!I23</f>
        <v>9715.4912929399507</v>
      </c>
      <c r="H15" s="41">
        <f t="shared" si="5"/>
        <v>56455.782060983955</v>
      </c>
      <c r="I15" s="1">
        <f t="shared" si="0"/>
        <v>97432.760609373625</v>
      </c>
      <c r="J15" s="27">
        <f t="shared" si="1"/>
        <v>4222707.5</v>
      </c>
      <c r="K15" s="43">
        <f t="shared" si="2"/>
        <v>98202.5</v>
      </c>
      <c r="L15" s="22">
        <f t="shared" si="6"/>
        <v>255788.95403853146</v>
      </c>
      <c r="M15" s="1">
        <f t="shared" si="3"/>
        <v>-89526.133913486003</v>
      </c>
      <c r="N15" s="1">
        <f t="shared" si="4"/>
        <v>7906.6266958876222</v>
      </c>
    </row>
    <row r="16" spans="1:14" x14ac:dyDescent="0.25">
      <c r="A16" s="3">
        <v>9</v>
      </c>
      <c r="B16" s="42">
        <f>'iWoTab EKneu'!C24</f>
        <v>491603.85942276154</v>
      </c>
      <c r="C16" s="39">
        <f>iWoDarl!C18</f>
        <v>70196.154678898994</v>
      </c>
      <c r="D16" s="30">
        <f>iWoDarl!D18</f>
        <v>261689.867297741</v>
      </c>
      <c r="E16" s="40">
        <f>'iWoTab EKneu'!G24</f>
        <v>14160.856682942944</v>
      </c>
      <c r="F16" s="40">
        <f>'iWoTab EKneu'!H24</f>
        <v>33608.425524913553</v>
      </c>
      <c r="G16" s="40">
        <f>'iWoTab EKneu'!I24</f>
        <v>9832.0771884552305</v>
      </c>
      <c r="H16" s="41">
        <f t="shared" si="5"/>
        <v>57601.359396311724</v>
      </c>
      <c r="I16" s="1">
        <f t="shared" si="0"/>
        <v>102116.47804980981</v>
      </c>
      <c r="J16" s="27">
        <f t="shared" si="1"/>
        <v>4124505</v>
      </c>
      <c r="K16" s="43">
        <f t="shared" si="2"/>
        <v>98202.5</v>
      </c>
      <c r="L16" s="22">
        <f t="shared" si="6"/>
        <v>265603.84534755081</v>
      </c>
      <c r="M16" s="1">
        <f t="shared" si="3"/>
        <v>-92961.345871642785</v>
      </c>
      <c r="N16" s="1">
        <f t="shared" si="4"/>
        <v>9155.1321781670267</v>
      </c>
    </row>
    <row r="17" spans="1:14" x14ac:dyDescent="0.25">
      <c r="A17" s="3">
        <v>10</v>
      </c>
      <c r="B17" s="42">
        <f>'iWoTab EKneu'!C25</f>
        <v>497503.10573583469</v>
      </c>
      <c r="C17" s="39">
        <f>iWoDarl!C19</f>
        <v>64962.357332944172</v>
      </c>
      <c r="D17" s="30">
        <f>iWoDarl!D19</f>
        <v>266923.66464369581</v>
      </c>
      <c r="E17" s="40">
        <f>'iWoTab EKneu'!G25</f>
        <v>14373.269533187087</v>
      </c>
      <c r="F17" s="40">
        <f>'iWoTab EKneu'!H25</f>
        <v>34448.63616303639</v>
      </c>
      <c r="G17" s="40">
        <f>'iWoTab EKneu'!I25</f>
        <v>9950.0621147166949</v>
      </c>
      <c r="H17" s="41">
        <f t="shared" si="5"/>
        <v>58771.967810940172</v>
      </c>
      <c r="I17" s="1">
        <f t="shared" si="0"/>
        <v>106845.11594825453</v>
      </c>
      <c r="J17" s="27">
        <f t="shared" si="1"/>
        <v>4026302.5</v>
      </c>
      <c r="K17" s="43">
        <f t="shared" si="2"/>
        <v>98202.5</v>
      </c>
      <c r="L17" s="22">
        <f t="shared" si="6"/>
        <v>275566.28059195034</v>
      </c>
      <c r="M17" s="1">
        <f t="shared" si="3"/>
        <v>-96448.198207182621</v>
      </c>
      <c r="N17" s="1">
        <f t="shared" si="4"/>
        <v>10396.917741071913</v>
      </c>
    </row>
    <row r="18" spans="1:14" x14ac:dyDescent="0.25">
      <c r="A18" s="3">
        <v>11</v>
      </c>
      <c r="B18" s="42">
        <f>'iWoTab EKneu'!C26</f>
        <v>501980.63368745713</v>
      </c>
      <c r="C18" s="39">
        <f>iWoDarl!C20</f>
        <v>59623.884040070254</v>
      </c>
      <c r="D18" s="30">
        <f>iWoDarl!D20</f>
        <v>272262.13793656975</v>
      </c>
      <c r="E18" s="40">
        <f>'iWoTab EKneu'!G26</f>
        <v>14588.868576184892</v>
      </c>
      <c r="F18" s="40">
        <f>'iWoTab EKneu'!H26</f>
        <v>35309.852067112297</v>
      </c>
      <c r="G18" s="40">
        <f>'iWoTab EKneu'!I26</f>
        <v>10039.612673749143</v>
      </c>
      <c r="H18" s="41">
        <f t="shared" si="5"/>
        <v>59938.33331704633</v>
      </c>
      <c r="I18" s="1">
        <f t="shared" si="0"/>
        <v>110156.2783937708</v>
      </c>
      <c r="J18" s="27">
        <f t="shared" si="1"/>
        <v>3928100</v>
      </c>
      <c r="K18" s="43">
        <f t="shared" si="2"/>
        <v>98202.5</v>
      </c>
      <c r="L18" s="22">
        <f t="shared" si="6"/>
        <v>284215.91633034055</v>
      </c>
      <c r="M18" s="1">
        <f t="shared" si="3"/>
        <v>-99475.570715619193</v>
      </c>
      <c r="N18" s="1">
        <f t="shared" si="4"/>
        <v>10680.707678151608</v>
      </c>
    </row>
    <row r="19" spans="1:14" x14ac:dyDescent="0.25">
      <c r="A19" s="3">
        <v>12</v>
      </c>
      <c r="B19" s="42">
        <f>'iWoTab EKneu'!C27</f>
        <v>506498.45939064422</v>
      </c>
      <c r="C19" s="39">
        <f>iWoDarl!C21</f>
        <v>54178.641281338852</v>
      </c>
      <c r="D19" s="30">
        <f>iWoDarl!D21</f>
        <v>277707.38069530111</v>
      </c>
      <c r="E19" s="40">
        <f>'iWoTab EKneu'!G27</f>
        <v>14807.701604827664</v>
      </c>
      <c r="F19" s="40">
        <f>'iWoTab EKneu'!H27</f>
        <v>36192.598368790103</v>
      </c>
      <c r="G19" s="40">
        <f>'iWoTab EKneu'!I27</f>
        <v>10129.969187812885</v>
      </c>
      <c r="H19" s="41">
        <f t="shared" si="5"/>
        <v>61130.269161430653</v>
      </c>
      <c r="I19" s="1">
        <f t="shared" si="0"/>
        <v>113482.16825257358</v>
      </c>
      <c r="J19" s="27">
        <f t="shared" si="1"/>
        <v>3829897.5</v>
      </c>
      <c r="K19" s="43">
        <f t="shared" si="2"/>
        <v>98202.5</v>
      </c>
      <c r="L19" s="22">
        <f t="shared" si="6"/>
        <v>292987.04894787469</v>
      </c>
      <c r="M19" s="1">
        <f t="shared" si="3"/>
        <v>-102545.46713175613</v>
      </c>
      <c r="N19" s="1">
        <f t="shared" si="4"/>
        <v>10936.701120817452</v>
      </c>
    </row>
    <row r="20" spans="1:14" x14ac:dyDescent="0.25">
      <c r="A20" s="3">
        <v>13</v>
      </c>
      <c r="B20" s="42">
        <f>'iWoTab EKneu'!C28</f>
        <v>511056.94552515994</v>
      </c>
      <c r="C20" s="39">
        <f>iWoDarl!C22</f>
        <v>48624.493667432835</v>
      </c>
      <c r="D20" s="30">
        <f>iWoDarl!D22</f>
        <v>283261.52830920718</v>
      </c>
      <c r="E20" s="40">
        <f>'iWoTab EKneu'!G28</f>
        <v>15029.817128900077</v>
      </c>
      <c r="F20" s="40">
        <f>'iWoTab EKneu'!H28</f>
        <v>37097.413328009854</v>
      </c>
      <c r="G20" s="40">
        <f>'iWoTab EKneu'!I28</f>
        <v>10221.138910503199</v>
      </c>
      <c r="H20" s="41">
        <f t="shared" si="5"/>
        <v>62348.369367413128</v>
      </c>
      <c r="I20" s="1">
        <f t="shared" si="0"/>
        <v>116822.55418110685</v>
      </c>
      <c r="J20" s="27">
        <f t="shared" si="1"/>
        <v>3731695</v>
      </c>
      <c r="K20" s="43">
        <f t="shared" si="2"/>
        <v>98202.5</v>
      </c>
      <c r="L20" s="22">
        <f t="shared" si="6"/>
        <v>301881.58249031403</v>
      </c>
      <c r="M20" s="1">
        <f t="shared" si="3"/>
        <v>-105658.55387160991</v>
      </c>
      <c r="N20" s="1">
        <f t="shared" si="4"/>
        <v>11164.000309496943</v>
      </c>
    </row>
    <row r="21" spans="1:14" x14ac:dyDescent="0.25">
      <c r="A21" s="3">
        <v>14</v>
      </c>
      <c r="B21" s="42">
        <f>'iWoTab EKneu'!C29</f>
        <v>515656.45803488634</v>
      </c>
      <c r="C21" s="39">
        <f>iWoDarl!C23</f>
        <v>42959.263101248682</v>
      </c>
      <c r="D21" s="30">
        <f>iWoDarl!D23</f>
        <v>288926.75887539133</v>
      </c>
      <c r="E21" s="40">
        <f>'iWoTab EKneu'!G29</f>
        <v>15255.264385833576</v>
      </c>
      <c r="F21" s="40">
        <f>'iWoTab EKneu'!H29</f>
        <v>38024.848661210097</v>
      </c>
      <c r="G21" s="40">
        <f>'iWoTab EKneu'!I29</f>
        <v>10313.129160697727</v>
      </c>
      <c r="H21" s="41">
        <f t="shared" si="5"/>
        <v>63593.242207741401</v>
      </c>
      <c r="I21" s="1">
        <f t="shared" si="0"/>
        <v>120177.19385050487</v>
      </c>
      <c r="J21" s="27">
        <f t="shared" si="1"/>
        <v>3633492.5</v>
      </c>
      <c r="K21" s="43">
        <f t="shared" si="2"/>
        <v>98202.5</v>
      </c>
      <c r="L21" s="22">
        <f t="shared" si="6"/>
        <v>310901.4527258962</v>
      </c>
      <c r="M21" s="1">
        <f t="shared" si="3"/>
        <v>-108815.50845406366</v>
      </c>
      <c r="N21" s="1">
        <f t="shared" si="4"/>
        <v>11361.685396441215</v>
      </c>
    </row>
    <row r="22" spans="1:14" x14ac:dyDescent="0.25">
      <c r="A22" s="3">
        <v>15</v>
      </c>
      <c r="B22" s="42">
        <f>'iWoTab EKneu'!C30</f>
        <v>520297.36615720025</v>
      </c>
      <c r="C22" s="39">
        <f>iWoDarl!C24</f>
        <v>37180.727923740858</v>
      </c>
      <c r="D22" s="30">
        <f>iWoDarl!D24</f>
        <v>294705.29405289912</v>
      </c>
      <c r="E22" s="40">
        <f>'iWoTab EKneu'!G30</f>
        <v>15484.093351621079</v>
      </c>
      <c r="F22" s="40">
        <f>'iWoTab EKneu'!H30</f>
        <v>38975.469877740346</v>
      </c>
      <c r="G22" s="40">
        <f>'iWoTab EKneu'!I30</f>
        <v>10405.947323144004</v>
      </c>
      <c r="H22" s="41">
        <f t="shared" si="5"/>
        <v>64865.510552505431</v>
      </c>
      <c r="I22" s="1">
        <f t="shared" si="0"/>
        <v>123545.83362805482</v>
      </c>
      <c r="J22" s="27">
        <f t="shared" si="1"/>
        <v>3535290</v>
      </c>
      <c r="K22" s="43">
        <f t="shared" si="2"/>
        <v>98202.5</v>
      </c>
      <c r="L22" s="22">
        <f t="shared" si="6"/>
        <v>320048.62768095394</v>
      </c>
      <c r="M22" s="1">
        <f t="shared" si="3"/>
        <v>-112017.01968833388</v>
      </c>
      <c r="N22" s="1">
        <f t="shared" si="4"/>
        <v>11528.813939720945</v>
      </c>
    </row>
    <row r="23" spans="1:14" x14ac:dyDescent="0.25">
      <c r="A23" s="3">
        <v>16</v>
      </c>
      <c r="B23" s="42">
        <f>'iWoTab EKneu'!C31</f>
        <v>523419.15035414346</v>
      </c>
      <c r="C23" s="39">
        <f>iWoDarl!C25</f>
        <v>31286.622042682873</v>
      </c>
      <c r="D23" s="30">
        <f>iWoDarl!D25</f>
        <v>300599.39993395709</v>
      </c>
      <c r="E23" s="40">
        <f>'iWoTab EKneu'!G31</f>
        <v>15716.354751895393</v>
      </c>
      <c r="F23" s="40">
        <f>'iWoTab EKneu'!H31</f>
        <v>39949.856624683853</v>
      </c>
      <c r="G23" s="40">
        <f>'iWoTab EKneu'!I31</f>
        <v>10468.38300708287</v>
      </c>
      <c r="H23" s="41">
        <f t="shared" si="5"/>
        <v>66134.594383662115</v>
      </c>
      <c r="I23" s="1">
        <f t="shared" si="0"/>
        <v>125398.53399384138</v>
      </c>
      <c r="J23" s="27">
        <f t="shared" si="1"/>
        <v>3437087.5</v>
      </c>
      <c r="K23" s="43">
        <f t="shared" si="2"/>
        <v>98202.5</v>
      </c>
      <c r="L23" s="22">
        <f t="shared" si="6"/>
        <v>327795.43392779847</v>
      </c>
      <c r="M23" s="1">
        <f t="shared" si="3"/>
        <v>-114728.40187472946</v>
      </c>
      <c r="N23" s="1">
        <f t="shared" si="4"/>
        <v>10670.13211911192</v>
      </c>
    </row>
    <row r="24" spans="1:14" x14ac:dyDescent="0.25">
      <c r="A24" s="3">
        <v>17</v>
      </c>
      <c r="B24" s="42">
        <f>'iWoTab EKneu'!C32</f>
        <v>526559.66525626834</v>
      </c>
      <c r="C24" s="39">
        <f>iWoDarl!C26</f>
        <v>25274.634044003735</v>
      </c>
      <c r="D24" s="30">
        <f>iWoDarl!D26</f>
        <v>306611.38793263625</v>
      </c>
      <c r="E24" s="40">
        <f>'iWoTab EKneu'!G32</f>
        <v>15952.100073173822</v>
      </c>
      <c r="F24" s="40">
        <f>'iWoTab EKneu'!H32</f>
        <v>40948.603040300943</v>
      </c>
      <c r="G24" s="40">
        <f>'iWoTab EKneu'!I32</f>
        <v>10531.193305125367</v>
      </c>
      <c r="H24" s="41">
        <f t="shared" si="5"/>
        <v>67431.896418600139</v>
      </c>
      <c r="I24" s="1">
        <f t="shared" si="0"/>
        <v>127241.74686102819</v>
      </c>
      <c r="J24" s="27">
        <f t="shared" si="1"/>
        <v>3338885</v>
      </c>
      <c r="K24" s="43">
        <f t="shared" si="2"/>
        <v>98202.5</v>
      </c>
      <c r="L24" s="22">
        <f t="shared" si="6"/>
        <v>335650.63479366445</v>
      </c>
      <c r="M24" s="1">
        <f t="shared" si="3"/>
        <v>-117477.72217778255</v>
      </c>
      <c r="N24" s="1">
        <f t="shared" si="4"/>
        <v>9764.0246832456469</v>
      </c>
    </row>
    <row r="25" spans="1:14" x14ac:dyDescent="0.25">
      <c r="A25" s="3">
        <v>18</v>
      </c>
      <c r="B25" s="42">
        <f>'iWoTab EKneu'!C33</f>
        <v>529719.02324780601</v>
      </c>
      <c r="C25" s="39">
        <f>iWoDarl!C27</f>
        <v>19142.406285351008</v>
      </c>
      <c r="D25" s="30">
        <f>iWoDarl!D27</f>
        <v>312743.61569128896</v>
      </c>
      <c r="E25" s="40">
        <f>'iWoTab EKneu'!G33</f>
        <v>16191.381574271429</v>
      </c>
      <c r="F25" s="40">
        <f>'iWoTab EKneu'!H33</f>
        <v>41972.318116308459</v>
      </c>
      <c r="G25" s="40">
        <f>'iWoTab EKneu'!I33</f>
        <v>10594.380464956121</v>
      </c>
      <c r="H25" s="41">
        <f t="shared" si="5"/>
        <v>68758.080155536009</v>
      </c>
      <c r="I25" s="1">
        <f t="shared" si="0"/>
        <v>129074.92111563002</v>
      </c>
      <c r="J25" s="27">
        <f t="shared" si="1"/>
        <v>3240682.5</v>
      </c>
      <c r="K25" s="43">
        <f t="shared" si="2"/>
        <v>98202.5</v>
      </c>
      <c r="L25" s="22">
        <f t="shared" si="6"/>
        <v>343616.03680691897</v>
      </c>
      <c r="M25" s="1">
        <f t="shared" si="3"/>
        <v>-120265.61288242163</v>
      </c>
      <c r="N25" s="1">
        <f t="shared" si="4"/>
        <v>8809.3082332083868</v>
      </c>
    </row>
    <row r="26" spans="1:14" x14ac:dyDescent="0.25">
      <c r="A26" s="3">
        <v>19</v>
      </c>
      <c r="B26" s="42">
        <f>'iWoTab EKneu'!C34</f>
        <v>532897.33738729288</v>
      </c>
      <c r="C26" s="39">
        <f>iWoDarl!C28</f>
        <v>12887.533971525228</v>
      </c>
      <c r="D26" s="30">
        <f>iWoDarl!D28</f>
        <v>318998.48800511478</v>
      </c>
      <c r="E26" s="40">
        <f>'iWoTab EKneu'!G34</f>
        <v>16434.252297885498</v>
      </c>
      <c r="F26" s="40">
        <f>'iWoTab EKneu'!H34</f>
        <v>43021.626069216167</v>
      </c>
      <c r="G26" s="40">
        <f>'iWoTab EKneu'!I34</f>
        <v>10657.946747745858</v>
      </c>
      <c r="H26" s="41">
        <f t="shared" si="5"/>
        <v>70113.825114847525</v>
      </c>
      <c r="I26" s="1">
        <f t="shared" si="0"/>
        <v>130897.49029580539</v>
      </c>
      <c r="J26" s="27">
        <f t="shared" si="1"/>
        <v>3142480</v>
      </c>
      <c r="K26" s="43">
        <f t="shared" si="2"/>
        <v>98202.5</v>
      </c>
      <c r="L26" s="22">
        <f t="shared" si="6"/>
        <v>351693.47830092016</v>
      </c>
      <c r="M26" s="1">
        <f t="shared" si="3"/>
        <v>-123092.71740532205</v>
      </c>
      <c r="N26" s="1">
        <f t="shared" si="4"/>
        <v>7804.7728904833348</v>
      </c>
    </row>
    <row r="27" spans="1:14" x14ac:dyDescent="0.25">
      <c r="A27" s="3">
        <v>20</v>
      </c>
      <c r="B27" s="42">
        <f>'iWoTab EKneu'!C35</f>
        <v>536094.72141161666</v>
      </c>
      <c r="C27" s="39">
        <f>iWoDarl!C29</f>
        <v>6507.5642114229322</v>
      </c>
      <c r="D27" s="30">
        <f>iWoDarl!D29</f>
        <v>325378.45776521706</v>
      </c>
      <c r="E27" s="40">
        <f>'iWoTab EKneu'!G35</f>
        <v>16680.766082353777</v>
      </c>
      <c r="F27" s="40">
        <f>'iWoTab EKneu'!H35</f>
        <v>44097.166720946567</v>
      </c>
      <c r="G27" s="40">
        <f>'iWoTab EKneu'!I35</f>
        <v>10721.894428232334</v>
      </c>
      <c r="H27" s="41">
        <f t="shared" si="5"/>
        <v>71499.827231532676</v>
      </c>
      <c r="I27" s="1">
        <f t="shared" si="0"/>
        <v>132708.87220344401</v>
      </c>
      <c r="J27" s="27">
        <f t="shared" si="1"/>
        <v>3044277.5</v>
      </c>
      <c r="K27" s="43">
        <f t="shared" si="2"/>
        <v>98202.5</v>
      </c>
      <c r="L27" s="22">
        <f t="shared" si="6"/>
        <v>359884.82996866107</v>
      </c>
      <c r="M27" s="1">
        <f t="shared" si="3"/>
        <v>-125959.69048903136</v>
      </c>
      <c r="N27" s="1">
        <f t="shared" si="4"/>
        <v>6749.1817144126544</v>
      </c>
    </row>
    <row r="28" spans="1:14" x14ac:dyDescent="0.25">
      <c r="A28" s="13" t="s">
        <v>147</v>
      </c>
      <c r="N28" s="44">
        <f>NPV(D1,N8:N27)+N7</f>
        <v>-1715323.7279225183</v>
      </c>
    </row>
    <row r="33" spans="3:5" x14ac:dyDescent="0.25">
      <c r="C33" t="s">
        <v>133</v>
      </c>
      <c r="D33" s="1" t="e">
        <f>#REF!-J27</f>
        <v>#REF!</v>
      </c>
      <c r="E33" s="1"/>
    </row>
    <row r="34" spans="3:5" x14ac:dyDescent="0.25">
      <c r="C34" t="s">
        <v>134</v>
      </c>
      <c r="D34" s="1" t="e">
        <f>D33*0.25</f>
        <v>#REF!</v>
      </c>
      <c r="E34" s="1"/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zoomScale="120" zoomScaleNormal="120" workbookViewId="0">
      <selection activeCell="C3" sqref="C3"/>
    </sheetView>
  </sheetViews>
  <sheetFormatPr baseColWidth="10" defaultRowHeight="13.2" x14ac:dyDescent="0.25"/>
  <cols>
    <col min="1" max="1" width="3" customWidth="1"/>
    <col min="2" max="2" width="12.33203125" customWidth="1"/>
    <col min="3" max="3" width="9.109375" customWidth="1"/>
    <col min="4" max="4" width="9" customWidth="1"/>
    <col min="5" max="5" width="9.88671875" customWidth="1"/>
  </cols>
  <sheetData>
    <row r="2" spans="1:5" x14ac:dyDescent="0.25">
      <c r="B2" s="6" t="s">
        <v>71</v>
      </c>
    </row>
    <row r="3" spans="1:5" x14ac:dyDescent="0.25">
      <c r="B3" t="s">
        <v>78</v>
      </c>
      <c r="C3" s="1">
        <f>iWoDat!$D$13</f>
        <v>5426812</v>
      </c>
    </row>
    <row r="4" spans="1:5" ht="15.6" x14ac:dyDescent="0.35">
      <c r="B4" t="s">
        <v>110</v>
      </c>
      <c r="C4" s="4">
        <v>2</v>
      </c>
    </row>
    <row r="5" spans="1:5" x14ac:dyDescent="0.25">
      <c r="B5" t="s">
        <v>111</v>
      </c>
      <c r="C5" s="17">
        <v>4.115672</v>
      </c>
    </row>
    <row r="6" spans="1:5" x14ac:dyDescent="0.25">
      <c r="B6" t="s">
        <v>142</v>
      </c>
      <c r="C6" s="1">
        <f>C10+D10</f>
        <v>331886.02197663998</v>
      </c>
    </row>
    <row r="7" spans="1:5" x14ac:dyDescent="0.25">
      <c r="C7" s="7"/>
    </row>
    <row r="9" spans="1:5" x14ac:dyDescent="0.25">
      <c r="A9" s="12" t="s">
        <v>88</v>
      </c>
      <c r="B9" s="12" t="s">
        <v>114</v>
      </c>
      <c r="C9" s="12" t="s">
        <v>112</v>
      </c>
      <c r="D9" s="12" t="s">
        <v>113</v>
      </c>
      <c r="E9" s="12" t="s">
        <v>141</v>
      </c>
    </row>
    <row r="10" spans="1:5" x14ac:dyDescent="0.25">
      <c r="A10" s="3">
        <v>1</v>
      </c>
      <c r="B10" s="1">
        <f>$C$3</f>
        <v>5426812</v>
      </c>
      <c r="C10" s="1">
        <f>$C$4*B10/100</f>
        <v>108536.24</v>
      </c>
      <c r="D10" s="1">
        <f>C5*B10/100</f>
        <v>223349.78197663999</v>
      </c>
      <c r="E10" s="1">
        <f>C10+D10</f>
        <v>331886.02197663998</v>
      </c>
    </row>
    <row r="11" spans="1:5" x14ac:dyDescent="0.25">
      <c r="A11" s="3">
        <v>2</v>
      </c>
      <c r="B11" s="1">
        <f>B10-D10</f>
        <v>5203462.2180233598</v>
      </c>
      <c r="C11" s="1">
        <f>$C$4*B11/100</f>
        <v>104069.2443604672</v>
      </c>
      <c r="D11" s="1">
        <f t="shared" ref="D11:D18" si="0">$C$6-C11</f>
        <v>227816.7776161728</v>
      </c>
      <c r="E11" s="1">
        <f t="shared" ref="E11:E29" si="1">C11+D11</f>
        <v>331886.02197663998</v>
      </c>
    </row>
    <row r="12" spans="1:5" x14ac:dyDescent="0.25">
      <c r="A12" s="3">
        <v>3</v>
      </c>
      <c r="B12" s="1">
        <f>B11-D11</f>
        <v>4975645.4404071867</v>
      </c>
      <c r="C12" s="1">
        <f>$C$4*B12/100</f>
        <v>99512.908808143737</v>
      </c>
      <c r="D12" s="1">
        <f t="shared" si="0"/>
        <v>232373.11316849623</v>
      </c>
      <c r="E12" s="1">
        <f t="shared" si="1"/>
        <v>331886.02197663998</v>
      </c>
    </row>
    <row r="13" spans="1:5" x14ac:dyDescent="0.25">
      <c r="A13" s="3">
        <v>4</v>
      </c>
      <c r="B13" s="1">
        <f t="shared" ref="B13:B18" si="2">B12-D12</f>
        <v>4743272.3272386901</v>
      </c>
      <c r="C13" s="1">
        <f t="shared" ref="C13:C18" si="3">$C$4*B13/100</f>
        <v>94865.446544773804</v>
      </c>
      <c r="D13" s="1">
        <f t="shared" si="0"/>
        <v>237020.57543186616</v>
      </c>
      <c r="E13" s="1">
        <f t="shared" si="1"/>
        <v>331886.02197663998</v>
      </c>
    </row>
    <row r="14" spans="1:5" x14ac:dyDescent="0.25">
      <c r="A14" s="3">
        <v>5</v>
      </c>
      <c r="B14" s="1">
        <f t="shared" si="2"/>
        <v>4506251.7518068235</v>
      </c>
      <c r="C14" s="1">
        <f t="shared" si="3"/>
        <v>90125.035036136469</v>
      </c>
      <c r="D14" s="1">
        <f t="shared" si="0"/>
        <v>241760.98694050353</v>
      </c>
      <c r="E14" s="1">
        <f t="shared" si="1"/>
        <v>331886.02197663998</v>
      </c>
    </row>
    <row r="15" spans="1:5" x14ac:dyDescent="0.25">
      <c r="A15" s="3">
        <v>6</v>
      </c>
      <c r="B15" s="1">
        <f t="shared" si="2"/>
        <v>4264490.7648663204</v>
      </c>
      <c r="C15" s="1">
        <f t="shared" si="3"/>
        <v>85289.815297326408</v>
      </c>
      <c r="D15" s="1">
        <f t="shared" si="0"/>
        <v>246596.20667931356</v>
      </c>
      <c r="E15" s="1">
        <f t="shared" si="1"/>
        <v>331886.02197663998</v>
      </c>
    </row>
    <row r="16" spans="1:5" x14ac:dyDescent="0.25">
      <c r="A16" s="3">
        <v>7</v>
      </c>
      <c r="B16" s="1">
        <f t="shared" si="2"/>
        <v>4017894.558187007</v>
      </c>
      <c r="C16" s="1">
        <f t="shared" si="3"/>
        <v>80357.891163740132</v>
      </c>
      <c r="D16" s="1">
        <f t="shared" si="0"/>
        <v>251528.13081289985</v>
      </c>
      <c r="E16" s="1">
        <f t="shared" si="1"/>
        <v>331886.02197663998</v>
      </c>
    </row>
    <row r="17" spans="1:5" x14ac:dyDescent="0.25">
      <c r="A17" s="3">
        <v>8</v>
      </c>
      <c r="B17" s="1">
        <f t="shared" si="2"/>
        <v>3766366.4273741073</v>
      </c>
      <c r="C17" s="1">
        <f t="shared" si="3"/>
        <v>75327.328547482146</v>
      </c>
      <c r="D17" s="1">
        <f t="shared" si="0"/>
        <v>256558.69342915784</v>
      </c>
      <c r="E17" s="1">
        <f t="shared" si="1"/>
        <v>331886.02197663998</v>
      </c>
    </row>
    <row r="18" spans="1:5" x14ac:dyDescent="0.25">
      <c r="A18" s="3">
        <v>9</v>
      </c>
      <c r="B18" s="1">
        <f t="shared" si="2"/>
        <v>3509807.7339449497</v>
      </c>
      <c r="C18" s="1">
        <f t="shared" si="3"/>
        <v>70196.154678898994</v>
      </c>
      <c r="D18" s="1">
        <f t="shared" si="0"/>
        <v>261689.867297741</v>
      </c>
      <c r="E18" s="1">
        <f t="shared" si="1"/>
        <v>331886.02197663998</v>
      </c>
    </row>
    <row r="19" spans="1:5" x14ac:dyDescent="0.25">
      <c r="A19" s="3">
        <v>10</v>
      </c>
      <c r="B19" s="1">
        <f t="shared" ref="B19:B30" si="4">B18-D18</f>
        <v>3248117.8666472086</v>
      </c>
      <c r="C19" s="1">
        <f t="shared" ref="C19:C29" si="5">$C$4*B19/100</f>
        <v>64962.357332944172</v>
      </c>
      <c r="D19" s="1">
        <f t="shared" ref="D19:D29" si="6">$C$6-C19</f>
        <v>266923.66464369581</v>
      </c>
      <c r="E19" s="1">
        <f t="shared" si="1"/>
        <v>331886.02197663998</v>
      </c>
    </row>
    <row r="20" spans="1:5" x14ac:dyDescent="0.25">
      <c r="A20" s="3">
        <v>11</v>
      </c>
      <c r="B20" s="1">
        <f t="shared" si="4"/>
        <v>2981194.2020035125</v>
      </c>
      <c r="C20" s="1">
        <f t="shared" si="5"/>
        <v>59623.884040070254</v>
      </c>
      <c r="D20" s="1">
        <f t="shared" si="6"/>
        <v>272262.13793656975</v>
      </c>
      <c r="E20" s="1">
        <f t="shared" si="1"/>
        <v>331886.02197663998</v>
      </c>
    </row>
    <row r="21" spans="1:5" x14ac:dyDescent="0.25">
      <c r="A21" s="3">
        <v>12</v>
      </c>
      <c r="B21" s="1">
        <f t="shared" si="4"/>
        <v>2708932.0640669428</v>
      </c>
      <c r="C21" s="1">
        <f t="shared" si="5"/>
        <v>54178.641281338852</v>
      </c>
      <c r="D21" s="1">
        <f t="shared" si="6"/>
        <v>277707.38069530111</v>
      </c>
      <c r="E21" s="1">
        <f t="shared" si="1"/>
        <v>331886.02197663998</v>
      </c>
    </row>
    <row r="22" spans="1:5" x14ac:dyDescent="0.25">
      <c r="A22" s="3">
        <v>13</v>
      </c>
      <c r="B22" s="1">
        <f t="shared" si="4"/>
        <v>2431224.6833716417</v>
      </c>
      <c r="C22" s="1">
        <f t="shared" si="5"/>
        <v>48624.493667432835</v>
      </c>
      <c r="D22" s="1">
        <f t="shared" si="6"/>
        <v>283261.52830920718</v>
      </c>
      <c r="E22" s="1">
        <f t="shared" si="1"/>
        <v>331886.02197663998</v>
      </c>
    </row>
    <row r="23" spans="1:5" x14ac:dyDescent="0.25">
      <c r="A23" s="3">
        <v>14</v>
      </c>
      <c r="B23" s="1">
        <f t="shared" si="4"/>
        <v>2147963.1550624343</v>
      </c>
      <c r="C23" s="1">
        <f t="shared" si="5"/>
        <v>42959.263101248682</v>
      </c>
      <c r="D23" s="1">
        <f t="shared" si="6"/>
        <v>288926.75887539133</v>
      </c>
      <c r="E23" s="1">
        <f t="shared" si="1"/>
        <v>331886.02197663998</v>
      </c>
    </row>
    <row r="24" spans="1:5" x14ac:dyDescent="0.25">
      <c r="A24" s="3">
        <v>15</v>
      </c>
      <c r="B24" s="1">
        <f t="shared" si="4"/>
        <v>1859036.3961870428</v>
      </c>
      <c r="C24" s="1">
        <f t="shared" si="5"/>
        <v>37180.727923740858</v>
      </c>
      <c r="D24" s="1">
        <f t="shared" si="6"/>
        <v>294705.29405289912</v>
      </c>
      <c r="E24" s="1">
        <f t="shared" si="1"/>
        <v>331886.02197663998</v>
      </c>
    </row>
    <row r="25" spans="1:5" x14ac:dyDescent="0.25">
      <c r="A25" s="3">
        <v>16</v>
      </c>
      <c r="B25" s="1">
        <f t="shared" si="4"/>
        <v>1564331.1021341437</v>
      </c>
      <c r="C25" s="1">
        <f t="shared" si="5"/>
        <v>31286.622042682873</v>
      </c>
      <c r="D25" s="1">
        <f t="shared" si="6"/>
        <v>300599.39993395709</v>
      </c>
      <c r="E25" s="1">
        <f t="shared" si="1"/>
        <v>331886.02197663998</v>
      </c>
    </row>
    <row r="26" spans="1:5" x14ac:dyDescent="0.25">
      <c r="A26" s="3">
        <v>17</v>
      </c>
      <c r="B26" s="1">
        <f t="shared" si="4"/>
        <v>1263731.7022001867</v>
      </c>
      <c r="C26" s="1">
        <f t="shared" si="5"/>
        <v>25274.634044003735</v>
      </c>
      <c r="D26" s="1">
        <f t="shared" si="6"/>
        <v>306611.38793263625</v>
      </c>
      <c r="E26" s="1">
        <f t="shared" si="1"/>
        <v>331886.02197663998</v>
      </c>
    </row>
    <row r="27" spans="1:5" x14ac:dyDescent="0.25">
      <c r="A27" s="3">
        <v>18</v>
      </c>
      <c r="B27" s="1">
        <f t="shared" si="4"/>
        <v>957120.31426755036</v>
      </c>
      <c r="C27" s="1">
        <f t="shared" si="5"/>
        <v>19142.406285351008</v>
      </c>
      <c r="D27" s="1">
        <f t="shared" si="6"/>
        <v>312743.61569128896</v>
      </c>
      <c r="E27" s="1">
        <f t="shared" si="1"/>
        <v>331886.02197663998</v>
      </c>
    </row>
    <row r="28" spans="1:5" x14ac:dyDescent="0.25">
      <c r="A28" s="3">
        <v>19</v>
      </c>
      <c r="B28" s="1">
        <f t="shared" si="4"/>
        <v>644376.69857626141</v>
      </c>
      <c r="C28" s="1">
        <f t="shared" si="5"/>
        <v>12887.533971525228</v>
      </c>
      <c r="D28" s="1">
        <f t="shared" si="6"/>
        <v>318998.48800511478</v>
      </c>
      <c r="E28" s="1">
        <f t="shared" si="1"/>
        <v>331886.02197663998</v>
      </c>
    </row>
    <row r="29" spans="1:5" x14ac:dyDescent="0.25">
      <c r="A29" s="3">
        <v>20</v>
      </c>
      <c r="B29" s="1">
        <f t="shared" si="4"/>
        <v>325378.21057114663</v>
      </c>
      <c r="C29" s="1">
        <f t="shared" si="5"/>
        <v>6507.5642114229322</v>
      </c>
      <c r="D29" s="1">
        <f t="shared" si="6"/>
        <v>325378.45776521706</v>
      </c>
      <c r="E29" s="1">
        <f t="shared" si="1"/>
        <v>331886.02197663998</v>
      </c>
    </row>
    <row r="30" spans="1:5" x14ac:dyDescent="0.25">
      <c r="B30" s="1">
        <f t="shared" si="4"/>
        <v>-0.24719407042721286</v>
      </c>
      <c r="C30" s="1"/>
      <c r="D30" s="1"/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iWoHK</vt:lpstr>
      <vt:lpstr>iWoKo</vt:lpstr>
      <vt:lpstr>iWoDat</vt:lpstr>
      <vt:lpstr>iWoTab GK</vt:lpstr>
      <vt:lpstr>iWoTab EKneu</vt:lpstr>
      <vt:lpstr>iWoGuV</vt:lpstr>
      <vt:lpstr>iWoTab EKSt</vt:lpstr>
      <vt:lpstr>iWoDarl</vt:lpstr>
    </vt:vector>
  </TitlesOfParts>
  <Company>fffff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Kofner</dc:creator>
  <cp:lastModifiedBy>kofner</cp:lastModifiedBy>
  <cp:lastPrinted>2005-07-30T10:27:52Z</cp:lastPrinted>
  <dcterms:created xsi:type="dcterms:W3CDTF">2005-06-26T08:01:37Z</dcterms:created>
  <dcterms:modified xsi:type="dcterms:W3CDTF">2015-07-08T21:33:44Z</dcterms:modified>
</cp:coreProperties>
</file>