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360" yWindow="276" windowWidth="7980" windowHeight="8652" tabRatio="726" activeTab="3"/>
  </bookViews>
  <sheets>
    <sheet name="iWoDat" sheetId="4" r:id="rId1"/>
    <sheet name="iWoTab GK" sheetId="13" r:id="rId2"/>
    <sheet name="iWoTab EK" sheetId="11" r:id="rId3"/>
    <sheet name="iWoTab EK KfW" sheetId="18" r:id="rId4"/>
    <sheet name="iWoTab EKSt" sheetId="16" r:id="rId5"/>
    <sheet name="iWoTab GK (NichtVerk)" sheetId="14" r:id="rId6"/>
    <sheet name="iWoDarl" sheetId="7" r:id="rId7"/>
    <sheet name="iWoDarl2" sheetId="17" r:id="rId8"/>
  </sheets>
  <externalReferences>
    <externalReference r:id="rId9"/>
    <externalReference r:id="rId10"/>
  </externalReferences>
  <definedNames>
    <definedName name="förd15_1">[1]G_DAT!$D$32</definedName>
    <definedName name="förd6_1">[1]G_DAT!$D$31</definedName>
    <definedName name="inst" localSheetId="7">#REF!</definedName>
    <definedName name="inst" localSheetId="3">#REF!</definedName>
    <definedName name="inst" localSheetId="4">#REF!</definedName>
    <definedName name="inst">#REF!</definedName>
    <definedName name="mod" localSheetId="7">#REF!</definedName>
    <definedName name="mod" localSheetId="3">#REF!</definedName>
    <definedName name="mod" localSheetId="4">#REF!</definedName>
    <definedName name="mod">#REF!</definedName>
    <definedName name="WFL" localSheetId="7">#REF!</definedName>
    <definedName name="WFL" localSheetId="3">#REF!</definedName>
    <definedName name="WFL" localSheetId="4">#REF!</definedName>
    <definedName name="WFL">#REF!</definedName>
  </definedNames>
  <calcPr calcId="145621"/>
</workbook>
</file>

<file path=xl/calcChain.xml><?xml version="1.0" encoding="utf-8"?>
<calcChain xmlns="http://schemas.openxmlformats.org/spreadsheetml/2006/main">
  <c r="B35" i="18" l="1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D17" i="18"/>
  <c r="J17" i="18" s="1"/>
  <c r="D18" i="18"/>
  <c r="D19" i="18"/>
  <c r="D20" i="18"/>
  <c r="D21" i="18"/>
  <c r="D22" i="18"/>
  <c r="D23" i="18"/>
  <c r="J23" i="18" s="1"/>
  <c r="D24" i="18"/>
  <c r="D25" i="18"/>
  <c r="J25" i="18" s="1"/>
  <c r="D26" i="18"/>
  <c r="D27" i="18"/>
  <c r="D28" i="18"/>
  <c r="D29" i="18"/>
  <c r="D30" i="18"/>
  <c r="D31" i="18"/>
  <c r="D32" i="18"/>
  <c r="D33" i="18"/>
  <c r="J33" i="18" s="1"/>
  <c r="D34" i="18"/>
  <c r="D35" i="18"/>
  <c r="D16" i="18"/>
  <c r="M35" i="18"/>
  <c r="J35" i="18"/>
  <c r="M34" i="18"/>
  <c r="M33" i="18"/>
  <c r="M32" i="18"/>
  <c r="M31" i="18"/>
  <c r="J31" i="18"/>
  <c r="M30" i="18"/>
  <c r="M29" i="18"/>
  <c r="J29" i="18"/>
  <c r="M28" i="18"/>
  <c r="M27" i="18"/>
  <c r="J27" i="18"/>
  <c r="M26" i="18"/>
  <c r="M25" i="18"/>
  <c r="M24" i="18"/>
  <c r="M23" i="18"/>
  <c r="M22" i="18"/>
  <c r="M21" i="18"/>
  <c r="J21" i="18"/>
  <c r="M20" i="18"/>
  <c r="M19" i="18"/>
  <c r="J19" i="18"/>
  <c r="M18" i="18"/>
  <c r="M17" i="18"/>
  <c r="M16" i="18"/>
  <c r="I16" i="18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I32" i="18" s="1"/>
  <c r="I33" i="18" s="1"/>
  <c r="I34" i="18" s="1"/>
  <c r="I35" i="18" s="1"/>
  <c r="H16" i="18"/>
  <c r="H17" i="18" s="1"/>
  <c r="C16" i="18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O15" i="18"/>
  <c r="P15" i="18" s="1"/>
  <c r="N15" i="18"/>
  <c r="M15" i="18"/>
  <c r="K15" i="18"/>
  <c r="F15" i="18"/>
  <c r="F16" i="18" s="1"/>
  <c r="B15" i="18"/>
  <c r="B23" i="17"/>
  <c r="C16" i="17"/>
  <c r="C15" i="17"/>
  <c r="C6" i="17"/>
  <c r="C4" i="17"/>
  <c r="C3" i="17"/>
  <c r="D20" i="17" s="1"/>
  <c r="E16" i="18" l="1"/>
  <c r="F17" i="18"/>
  <c r="H18" i="18"/>
  <c r="K17" i="18"/>
  <c r="L17" i="18"/>
  <c r="L16" i="18"/>
  <c r="J18" i="18"/>
  <c r="J22" i="18"/>
  <c r="J26" i="18"/>
  <c r="J30" i="18"/>
  <c r="J34" i="18"/>
  <c r="J16" i="18"/>
  <c r="K16" i="18" s="1"/>
  <c r="J20" i="18"/>
  <c r="J24" i="18"/>
  <c r="J28" i="18"/>
  <c r="J32" i="18"/>
  <c r="B20" i="17"/>
  <c r="C23" i="17" s="1"/>
  <c r="O16" i="18" l="1"/>
  <c r="N16" i="18"/>
  <c r="H19" i="18"/>
  <c r="K18" i="18"/>
  <c r="N17" i="18"/>
  <c r="O17" i="18"/>
  <c r="P17" i="18" s="1"/>
  <c r="F18" i="18"/>
  <c r="E17" i="18"/>
  <c r="L18" i="18"/>
  <c r="C22" i="17"/>
  <c r="E22" i="17" s="1"/>
  <c r="C21" i="17"/>
  <c r="E21" i="17" s="1"/>
  <c r="D23" i="17"/>
  <c r="B24" i="17" s="1"/>
  <c r="C20" i="17"/>
  <c r="O18" i="18" l="1"/>
  <c r="P18" i="18" s="1"/>
  <c r="N18" i="18"/>
  <c r="P16" i="18"/>
  <c r="E18" i="18"/>
  <c r="F19" i="18"/>
  <c r="H20" i="18"/>
  <c r="K19" i="18"/>
  <c r="L19" i="18"/>
  <c r="C24" i="17"/>
  <c r="E23" i="17"/>
  <c r="E20" i="17"/>
  <c r="C11" i="17"/>
  <c r="O19" i="18" l="1"/>
  <c r="P19" i="18" s="1"/>
  <c r="N19" i="18"/>
  <c r="K20" i="18"/>
  <c r="H21" i="18"/>
  <c r="L20" i="18"/>
  <c r="E19" i="18"/>
  <c r="F20" i="18"/>
  <c r="D24" i="17"/>
  <c r="B25" i="17" s="1"/>
  <c r="F21" i="18" l="1"/>
  <c r="E20" i="18"/>
  <c r="O20" i="18"/>
  <c r="N20" i="18"/>
  <c r="H22" i="18"/>
  <c r="K21" i="18"/>
  <c r="L21" i="18"/>
  <c r="C25" i="17"/>
  <c r="E24" i="17"/>
  <c r="H23" i="18" l="1"/>
  <c r="K22" i="18"/>
  <c r="L22" i="18"/>
  <c r="P20" i="18"/>
  <c r="N21" i="18"/>
  <c r="O21" i="18"/>
  <c r="P21" i="18" s="1"/>
  <c r="E21" i="18"/>
  <c r="F22" i="18"/>
  <c r="D25" i="17"/>
  <c r="B26" i="17" s="1"/>
  <c r="O22" i="18" l="1"/>
  <c r="N22" i="18"/>
  <c r="E22" i="18"/>
  <c r="F23" i="18"/>
  <c r="H24" i="18"/>
  <c r="K23" i="18"/>
  <c r="L23" i="18"/>
  <c r="C26" i="17"/>
  <c r="E25" i="17"/>
  <c r="K24" i="18" l="1"/>
  <c r="H25" i="18"/>
  <c r="L24" i="18"/>
  <c r="O23" i="18"/>
  <c r="P23" i="18" s="1"/>
  <c r="N23" i="18"/>
  <c r="E23" i="18"/>
  <c r="F24" i="18"/>
  <c r="P22" i="18"/>
  <c r="D26" i="17"/>
  <c r="B27" i="17" s="1"/>
  <c r="F25" i="18" l="1"/>
  <c r="E24" i="18"/>
  <c r="O24" i="18"/>
  <c r="P24" i="18" s="1"/>
  <c r="N24" i="18"/>
  <c r="H26" i="18"/>
  <c r="K25" i="18"/>
  <c r="L25" i="18"/>
  <c r="C27" i="17"/>
  <c r="E26" i="17"/>
  <c r="E25" i="18" l="1"/>
  <c r="F26" i="18"/>
  <c r="N25" i="18"/>
  <c r="O25" i="18"/>
  <c r="P25" i="18" s="1"/>
  <c r="H27" i="18"/>
  <c r="K26" i="18"/>
  <c r="L26" i="18"/>
  <c r="D27" i="17"/>
  <c r="B28" i="17" s="1"/>
  <c r="O26" i="18" l="1"/>
  <c r="P26" i="18" s="1"/>
  <c r="N26" i="18"/>
  <c r="H28" i="18"/>
  <c r="K27" i="18"/>
  <c r="L27" i="18"/>
  <c r="E26" i="18"/>
  <c r="F27" i="18"/>
  <c r="C28" i="17"/>
  <c r="E27" i="17"/>
  <c r="O27" i="18" l="1"/>
  <c r="P27" i="18" s="1"/>
  <c r="N27" i="18"/>
  <c r="E27" i="18"/>
  <c r="F28" i="18"/>
  <c r="K28" i="18"/>
  <c r="H29" i="18"/>
  <c r="L28" i="18"/>
  <c r="D28" i="17"/>
  <c r="B29" i="17" s="1"/>
  <c r="O28" i="18" l="1"/>
  <c r="P28" i="18" s="1"/>
  <c r="N28" i="18"/>
  <c r="H30" i="18"/>
  <c r="K29" i="18"/>
  <c r="L29" i="18"/>
  <c r="F29" i="18"/>
  <c r="E28" i="18"/>
  <c r="E28" i="17"/>
  <c r="C29" i="17"/>
  <c r="N29" i="18" l="1"/>
  <c r="O29" i="18"/>
  <c r="P29" i="18" s="1"/>
  <c r="E29" i="18"/>
  <c r="F30" i="18"/>
  <c r="H31" i="18"/>
  <c r="K30" i="18"/>
  <c r="L30" i="18"/>
  <c r="D29" i="17"/>
  <c r="B30" i="17" s="1"/>
  <c r="O30" i="18" l="1"/>
  <c r="P30" i="18" s="1"/>
  <c r="N30" i="18"/>
  <c r="H32" i="18"/>
  <c r="K31" i="18"/>
  <c r="L31" i="18"/>
  <c r="E30" i="18"/>
  <c r="F31" i="18"/>
  <c r="D30" i="17"/>
  <c r="B31" i="17" s="1"/>
  <c r="C30" i="17"/>
  <c r="E29" i="17"/>
  <c r="E31" i="18" l="1"/>
  <c r="F32" i="18"/>
  <c r="O31" i="18"/>
  <c r="P31" i="18" s="1"/>
  <c r="N31" i="18"/>
  <c r="K32" i="18"/>
  <c r="H33" i="18"/>
  <c r="L32" i="18"/>
  <c r="C31" i="17"/>
  <c r="C13" i="17"/>
  <c r="E30" i="17"/>
  <c r="O32" i="18" l="1"/>
  <c r="P32" i="18" s="1"/>
  <c r="N32" i="18"/>
  <c r="E32" i="18"/>
  <c r="F33" i="18"/>
  <c r="H34" i="18"/>
  <c r="K33" i="18"/>
  <c r="L33" i="18"/>
  <c r="D31" i="17"/>
  <c r="B32" i="17" s="1"/>
  <c r="N33" i="18" l="1"/>
  <c r="O33" i="18"/>
  <c r="P33" i="18" s="1"/>
  <c r="H35" i="18"/>
  <c r="K34" i="18"/>
  <c r="L34" i="18"/>
  <c r="E33" i="18"/>
  <c r="F34" i="18"/>
  <c r="C32" i="17"/>
  <c r="E31" i="17"/>
  <c r="F35" i="18" l="1"/>
  <c r="E35" i="18" s="1"/>
  <c r="E34" i="18"/>
  <c r="O34" i="18"/>
  <c r="P34" i="18" s="1"/>
  <c r="N34" i="18"/>
  <c r="K35" i="18"/>
  <c r="L35" i="18"/>
  <c r="D32" i="17"/>
  <c r="B33" i="17" s="1"/>
  <c r="O35" i="18" l="1"/>
  <c r="C33" i="17"/>
  <c r="E32" i="17"/>
  <c r="P35" i="18" l="1"/>
  <c r="O36" i="18"/>
  <c r="N35" i="18"/>
  <c r="N36" i="18" s="1"/>
  <c r="D33" i="17"/>
  <c r="B34" i="17" s="1"/>
  <c r="C34" i="17" l="1"/>
  <c r="E33" i="17"/>
  <c r="D34" i="17" l="1"/>
  <c r="B35" i="17" s="1"/>
  <c r="C35" i="17" l="1"/>
  <c r="E34" i="17"/>
  <c r="D35" i="17" l="1"/>
  <c r="B36" i="17" s="1"/>
  <c r="C36" i="17" l="1"/>
  <c r="E35" i="17"/>
  <c r="D36" i="17" l="1"/>
  <c r="B37" i="17" s="1"/>
  <c r="C37" i="17" l="1"/>
  <c r="E36" i="17"/>
  <c r="D37" i="17" l="1"/>
  <c r="B38" i="17" s="1"/>
  <c r="C38" i="17" l="1"/>
  <c r="E37" i="17"/>
  <c r="D38" i="17" l="1"/>
  <c r="B39" i="17" s="1"/>
  <c r="C39" i="17" l="1"/>
  <c r="E38" i="17"/>
  <c r="D39" i="17" l="1"/>
  <c r="B40" i="17" s="1"/>
  <c r="E39" i="17" l="1"/>
  <c r="P26" i="16" l="1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6" i="16"/>
  <c r="N25" i="16"/>
  <c r="O25" i="16" s="1"/>
  <c r="P5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6" i="16"/>
  <c r="K6" i="16"/>
  <c r="M8" i="16" s="1"/>
  <c r="H6" i="16"/>
  <c r="J10" i="16" s="1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B25" i="16"/>
  <c r="D25" i="16"/>
  <c r="C25" i="16"/>
  <c r="D24" i="16"/>
  <c r="C24" i="16"/>
  <c r="D23" i="16"/>
  <c r="C23" i="16"/>
  <c r="D22" i="16"/>
  <c r="C22" i="16"/>
  <c r="D21" i="16"/>
  <c r="C21" i="16"/>
  <c r="D20" i="16"/>
  <c r="C20" i="16"/>
  <c r="D19" i="16"/>
  <c r="C19" i="16"/>
  <c r="D18" i="16"/>
  <c r="C18" i="16"/>
  <c r="D17" i="16"/>
  <c r="C17" i="16"/>
  <c r="D16" i="16"/>
  <c r="C16" i="16"/>
  <c r="G16" i="16" s="1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7" i="16"/>
  <c r="C7" i="16"/>
  <c r="D6" i="16"/>
  <c r="C6" i="16"/>
  <c r="F5" i="16"/>
  <c r="B5" i="16"/>
  <c r="G5" i="16" s="1"/>
  <c r="N15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16" i="14"/>
  <c r="G18" i="16" l="1"/>
  <c r="G7" i="16"/>
  <c r="G11" i="16"/>
  <c r="G15" i="16"/>
  <c r="G19" i="16"/>
  <c r="G23" i="16"/>
  <c r="N10" i="16"/>
  <c r="J21" i="16"/>
  <c r="N21" i="16" s="1"/>
  <c r="M19" i="16"/>
  <c r="M11" i="16"/>
  <c r="J6" i="16"/>
  <c r="J25" i="16"/>
  <c r="J17" i="16"/>
  <c r="J9" i="16"/>
  <c r="M23" i="16"/>
  <c r="M15" i="16"/>
  <c r="M7" i="16"/>
  <c r="J24" i="16"/>
  <c r="J16" i="16"/>
  <c r="J8" i="16"/>
  <c r="N8" i="16" s="1"/>
  <c r="M22" i="16"/>
  <c r="M14" i="16"/>
  <c r="J12" i="16"/>
  <c r="N12" i="16" s="1"/>
  <c r="J23" i="16"/>
  <c r="N23" i="16" s="1"/>
  <c r="J15" i="16"/>
  <c r="N15" i="16" s="1"/>
  <c r="M21" i="16"/>
  <c r="M13" i="16"/>
  <c r="G10" i="16"/>
  <c r="G14" i="16"/>
  <c r="G22" i="16"/>
  <c r="G25" i="16"/>
  <c r="G17" i="16"/>
  <c r="G9" i="16"/>
  <c r="J22" i="16"/>
  <c r="J14" i="16"/>
  <c r="M20" i="16"/>
  <c r="M12" i="16"/>
  <c r="G8" i="16"/>
  <c r="J13" i="16"/>
  <c r="N13" i="16" s="1"/>
  <c r="J20" i="16"/>
  <c r="N20" i="16" s="1"/>
  <c r="M6" i="16"/>
  <c r="K7" i="16" s="1"/>
  <c r="M18" i="16"/>
  <c r="M10" i="16"/>
  <c r="G24" i="16"/>
  <c r="J19" i="16"/>
  <c r="J11" i="16"/>
  <c r="N11" i="16" s="1"/>
  <c r="M25" i="16"/>
  <c r="M17" i="16"/>
  <c r="M9" i="16"/>
  <c r="J7" i="16"/>
  <c r="J18" i="16"/>
  <c r="N18" i="16" s="1"/>
  <c r="M24" i="16"/>
  <c r="M16" i="16"/>
  <c r="G12" i="16"/>
  <c r="G20" i="16"/>
  <c r="G13" i="16"/>
  <c r="G21" i="16"/>
  <c r="G6" i="16"/>
  <c r="D16" i="13"/>
  <c r="J16" i="13" s="1"/>
  <c r="D31" i="4"/>
  <c r="D30" i="4"/>
  <c r="M35" i="14"/>
  <c r="J35" i="14"/>
  <c r="M34" i="14"/>
  <c r="J34" i="14"/>
  <c r="M33" i="14"/>
  <c r="J33" i="14"/>
  <c r="M32" i="14"/>
  <c r="J32" i="14"/>
  <c r="M31" i="14"/>
  <c r="J31" i="14"/>
  <c r="M30" i="14"/>
  <c r="J30" i="14"/>
  <c r="M29" i="14"/>
  <c r="J29" i="14"/>
  <c r="M28" i="14"/>
  <c r="J28" i="14"/>
  <c r="M27" i="14"/>
  <c r="J27" i="14"/>
  <c r="M26" i="14"/>
  <c r="J26" i="14"/>
  <c r="M25" i="14"/>
  <c r="J25" i="14"/>
  <c r="M24" i="14"/>
  <c r="J24" i="14"/>
  <c r="M23" i="14"/>
  <c r="J23" i="14"/>
  <c r="M22" i="14"/>
  <c r="J22" i="14"/>
  <c r="M21" i="14"/>
  <c r="J21" i="14"/>
  <c r="M20" i="14"/>
  <c r="J20" i="14"/>
  <c r="M19" i="14"/>
  <c r="J19" i="14"/>
  <c r="M18" i="14"/>
  <c r="J18" i="14"/>
  <c r="M17" i="14"/>
  <c r="J17" i="14"/>
  <c r="M16" i="14"/>
  <c r="I16" i="14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H16" i="14"/>
  <c r="H17" i="14" s="1"/>
  <c r="J16" i="14"/>
  <c r="C16" i="14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M15" i="14"/>
  <c r="K15" i="14"/>
  <c r="F15" i="14"/>
  <c r="B15" i="14"/>
  <c r="M35" i="13"/>
  <c r="D35" i="13"/>
  <c r="J35" i="13" s="1"/>
  <c r="M34" i="13"/>
  <c r="D34" i="13"/>
  <c r="J34" i="13" s="1"/>
  <c r="M33" i="13"/>
  <c r="D33" i="13"/>
  <c r="J33" i="13" s="1"/>
  <c r="M32" i="13"/>
  <c r="D32" i="13"/>
  <c r="J32" i="13" s="1"/>
  <c r="M31" i="13"/>
  <c r="D31" i="13"/>
  <c r="J31" i="13" s="1"/>
  <c r="M30" i="13"/>
  <c r="D30" i="13"/>
  <c r="J30" i="13" s="1"/>
  <c r="M29" i="13"/>
  <c r="D29" i="13"/>
  <c r="J29" i="13" s="1"/>
  <c r="M28" i="13"/>
  <c r="D28" i="13"/>
  <c r="J28" i="13" s="1"/>
  <c r="M27" i="13"/>
  <c r="J27" i="13"/>
  <c r="D27" i="13"/>
  <c r="M26" i="13"/>
  <c r="J26" i="13"/>
  <c r="D26" i="13"/>
  <c r="M25" i="13"/>
  <c r="D25" i="13"/>
  <c r="J25" i="13" s="1"/>
  <c r="M24" i="13"/>
  <c r="D24" i="13"/>
  <c r="J24" i="13" s="1"/>
  <c r="M23" i="13"/>
  <c r="D23" i="13"/>
  <c r="M22" i="13"/>
  <c r="D22" i="13"/>
  <c r="J22" i="13" s="1"/>
  <c r="M21" i="13"/>
  <c r="D21" i="13"/>
  <c r="M20" i="13"/>
  <c r="D20" i="13"/>
  <c r="J20" i="13" s="1"/>
  <c r="M19" i="13"/>
  <c r="D19" i="13"/>
  <c r="J19" i="13" s="1"/>
  <c r="M18" i="13"/>
  <c r="D18" i="13"/>
  <c r="M17" i="13"/>
  <c r="D17" i="13"/>
  <c r="J17" i="13" s="1"/>
  <c r="M16" i="13"/>
  <c r="I16" i="13"/>
  <c r="I17" i="13" s="1"/>
  <c r="H16" i="13"/>
  <c r="H17" i="13" s="1"/>
  <c r="H18" i="13" s="1"/>
  <c r="H19" i="13" s="1"/>
  <c r="C16" i="13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M15" i="13"/>
  <c r="K15" i="13"/>
  <c r="F15" i="13"/>
  <c r="F16" i="13" s="1"/>
  <c r="E16" i="13" s="1"/>
  <c r="B15" i="13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16" i="11"/>
  <c r="D32" i="4"/>
  <c r="D28" i="4"/>
  <c r="N9" i="16" l="1"/>
  <c r="N19" i="16"/>
  <c r="N7" i="16"/>
  <c r="N14" i="16"/>
  <c r="N16" i="16"/>
  <c r="N6" i="16"/>
  <c r="N22" i="16"/>
  <c r="N24" i="16"/>
  <c r="N17" i="16"/>
  <c r="H7" i="16"/>
  <c r="H8" i="16" s="1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H22" i="16" s="1"/>
  <c r="H23" i="16" s="1"/>
  <c r="H24" i="16" s="1"/>
  <c r="H25" i="16" s="1"/>
  <c r="K8" i="16"/>
  <c r="K9" i="16" s="1"/>
  <c r="K10" i="16" s="1"/>
  <c r="K11" i="16" s="1"/>
  <c r="K12" i="16" s="1"/>
  <c r="K13" i="16" s="1"/>
  <c r="K14" i="16" s="1"/>
  <c r="K15" i="16" s="1"/>
  <c r="K16" i="16" s="1"/>
  <c r="K17" i="16" s="1"/>
  <c r="K18" i="16" s="1"/>
  <c r="K19" i="16" s="1"/>
  <c r="K20" i="16" s="1"/>
  <c r="K21" i="16" s="1"/>
  <c r="K22" i="16" s="1"/>
  <c r="K23" i="16" s="1"/>
  <c r="K24" i="16" s="1"/>
  <c r="K25" i="16" s="1"/>
  <c r="G26" i="16"/>
  <c r="L17" i="14"/>
  <c r="N17" i="14" s="1"/>
  <c r="L16" i="14"/>
  <c r="N16" i="14" s="1"/>
  <c r="H18" i="14"/>
  <c r="L18" i="14" s="1"/>
  <c r="N18" i="14" s="1"/>
  <c r="K17" i="14"/>
  <c r="F16" i="14"/>
  <c r="K16" i="14"/>
  <c r="L17" i="13"/>
  <c r="I18" i="13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L19" i="13"/>
  <c r="J21" i="13"/>
  <c r="F17" i="13"/>
  <c r="F18" i="13" s="1"/>
  <c r="K16" i="13"/>
  <c r="J18" i="13"/>
  <c r="N15" i="13"/>
  <c r="L16" i="13"/>
  <c r="H20" i="13"/>
  <c r="L20" i="13" s="1"/>
  <c r="K19" i="13"/>
  <c r="K18" i="13"/>
  <c r="J23" i="13"/>
  <c r="K17" i="13"/>
  <c r="L18" i="13" l="1"/>
  <c r="N16" i="13"/>
  <c r="E17" i="13"/>
  <c r="F17" i="14"/>
  <c r="E16" i="14"/>
  <c r="H19" i="14"/>
  <c r="K18" i="14"/>
  <c r="N20" i="13"/>
  <c r="N18" i="13"/>
  <c r="N17" i="13"/>
  <c r="H21" i="13"/>
  <c r="L21" i="13" s="1"/>
  <c r="K20" i="13"/>
  <c r="N19" i="13"/>
  <c r="F19" i="13"/>
  <c r="E18" i="13"/>
  <c r="H20" i="14" l="1"/>
  <c r="K19" i="14"/>
  <c r="L19" i="14"/>
  <c r="N19" i="14" s="1"/>
  <c r="E17" i="14"/>
  <c r="F18" i="14"/>
  <c r="F20" i="13"/>
  <c r="E19" i="13"/>
  <c r="H22" i="13"/>
  <c r="L22" i="13" s="1"/>
  <c r="K21" i="13"/>
  <c r="F19" i="14" l="1"/>
  <c r="E18" i="14"/>
  <c r="H21" i="14"/>
  <c r="K20" i="14"/>
  <c r="L20" i="14"/>
  <c r="N20" i="14" s="1"/>
  <c r="F21" i="13"/>
  <c r="E20" i="13"/>
  <c r="N21" i="13"/>
  <c r="K22" i="13"/>
  <c r="H23" i="13"/>
  <c r="L23" i="13" s="1"/>
  <c r="H22" i="14" l="1"/>
  <c r="K21" i="14"/>
  <c r="L21" i="14"/>
  <c r="N21" i="14" s="1"/>
  <c r="E19" i="14"/>
  <c r="F20" i="14"/>
  <c r="F22" i="13"/>
  <c r="E21" i="13"/>
  <c r="N22" i="13"/>
  <c r="H24" i="13"/>
  <c r="L24" i="13" s="1"/>
  <c r="K23" i="13"/>
  <c r="F21" i="14" l="1"/>
  <c r="E20" i="14"/>
  <c r="H23" i="14"/>
  <c r="K22" i="14"/>
  <c r="L22" i="14"/>
  <c r="N22" i="14" s="1"/>
  <c r="N23" i="13"/>
  <c r="K24" i="13"/>
  <c r="H25" i="13"/>
  <c r="L25" i="13" s="1"/>
  <c r="F23" i="13"/>
  <c r="E22" i="13"/>
  <c r="H24" i="14" l="1"/>
  <c r="K23" i="14"/>
  <c r="L23" i="14"/>
  <c r="N23" i="14" s="1"/>
  <c r="E21" i="14"/>
  <c r="F22" i="14"/>
  <c r="N24" i="13"/>
  <c r="F24" i="13"/>
  <c r="E23" i="13"/>
  <c r="K25" i="13"/>
  <c r="H26" i="13"/>
  <c r="L26" i="13" s="1"/>
  <c r="F23" i="14" l="1"/>
  <c r="E22" i="14"/>
  <c r="H25" i="14"/>
  <c r="K24" i="14"/>
  <c r="L24" i="14"/>
  <c r="N24" i="14" s="1"/>
  <c r="N25" i="13"/>
  <c r="F25" i="13"/>
  <c r="E24" i="13"/>
  <c r="K26" i="13"/>
  <c r="H27" i="13"/>
  <c r="L27" i="13" s="1"/>
  <c r="H26" i="14" l="1"/>
  <c r="K25" i="14"/>
  <c r="L25" i="14"/>
  <c r="N25" i="14" s="1"/>
  <c r="E23" i="14"/>
  <c r="F24" i="14"/>
  <c r="N26" i="13"/>
  <c r="F26" i="13"/>
  <c r="E25" i="13"/>
  <c r="H28" i="13"/>
  <c r="L28" i="13" s="1"/>
  <c r="K27" i="13"/>
  <c r="F25" i="14" l="1"/>
  <c r="E24" i="14"/>
  <c r="H27" i="14"/>
  <c r="K26" i="14"/>
  <c r="L26" i="14"/>
  <c r="N26" i="14" s="1"/>
  <c r="H29" i="13"/>
  <c r="L29" i="13" s="1"/>
  <c r="K28" i="13"/>
  <c r="F27" i="13"/>
  <c r="E26" i="13"/>
  <c r="N27" i="13"/>
  <c r="H28" i="14" l="1"/>
  <c r="K27" i="14"/>
  <c r="L27" i="14"/>
  <c r="N27" i="14" s="1"/>
  <c r="E25" i="14"/>
  <c r="F26" i="14"/>
  <c r="F28" i="13"/>
  <c r="E27" i="13"/>
  <c r="N28" i="13"/>
  <c r="H30" i="13"/>
  <c r="L30" i="13" s="1"/>
  <c r="K29" i="13"/>
  <c r="F27" i="14" l="1"/>
  <c r="E26" i="14"/>
  <c r="H29" i="14"/>
  <c r="K28" i="14"/>
  <c r="L28" i="14"/>
  <c r="N28" i="14" s="1"/>
  <c r="H31" i="13"/>
  <c r="L31" i="13" s="1"/>
  <c r="K30" i="13"/>
  <c r="F29" i="13"/>
  <c r="E28" i="13"/>
  <c r="N29" i="13"/>
  <c r="H30" i="14" l="1"/>
  <c r="K29" i="14"/>
  <c r="L29" i="14"/>
  <c r="N29" i="14" s="1"/>
  <c r="E27" i="14"/>
  <c r="F28" i="14"/>
  <c r="N30" i="13"/>
  <c r="F30" i="13"/>
  <c r="E29" i="13"/>
  <c r="K31" i="13"/>
  <c r="H32" i="13"/>
  <c r="L32" i="13" s="1"/>
  <c r="F29" i="14" l="1"/>
  <c r="E28" i="14"/>
  <c r="H31" i="14"/>
  <c r="K30" i="14"/>
  <c r="L30" i="14"/>
  <c r="N30" i="14" s="1"/>
  <c r="K32" i="13"/>
  <c r="H33" i="13"/>
  <c r="L33" i="13" s="1"/>
  <c r="F31" i="13"/>
  <c r="E30" i="13"/>
  <c r="N31" i="13"/>
  <c r="H32" i="14" l="1"/>
  <c r="K31" i="14"/>
  <c r="L31" i="14"/>
  <c r="N31" i="14" s="1"/>
  <c r="E29" i="14"/>
  <c r="F30" i="14"/>
  <c r="N32" i="13"/>
  <c r="K33" i="13"/>
  <c r="H34" i="13"/>
  <c r="L34" i="13" s="1"/>
  <c r="E31" i="13"/>
  <c r="F32" i="13"/>
  <c r="H33" i="14" l="1"/>
  <c r="K32" i="14"/>
  <c r="L32" i="14"/>
  <c r="N32" i="14" s="1"/>
  <c r="F31" i="14"/>
  <c r="E30" i="14"/>
  <c r="F33" i="13"/>
  <c r="E32" i="13"/>
  <c r="N33" i="13"/>
  <c r="K34" i="13"/>
  <c r="H35" i="13"/>
  <c r="L35" i="13" s="1"/>
  <c r="E31" i="14" l="1"/>
  <c r="F32" i="14"/>
  <c r="H34" i="14"/>
  <c r="K33" i="14"/>
  <c r="L33" i="14"/>
  <c r="N33" i="14" s="1"/>
  <c r="N34" i="13"/>
  <c r="K35" i="13"/>
  <c r="F34" i="13"/>
  <c r="E33" i="13"/>
  <c r="E32" i="14" l="1"/>
  <c r="F33" i="14"/>
  <c r="K34" i="14"/>
  <c r="H35" i="14"/>
  <c r="L34" i="14"/>
  <c r="N34" i="14" s="1"/>
  <c r="F35" i="13"/>
  <c r="E35" i="13" s="1"/>
  <c r="E34" i="13"/>
  <c r="E33" i="14" l="1"/>
  <c r="F34" i="14"/>
  <c r="L35" i="14"/>
  <c r="K35" i="14"/>
  <c r="F35" i="14" l="1"/>
  <c r="E35" i="14" s="1"/>
  <c r="E34" i="14"/>
  <c r="D13" i="4" l="1"/>
  <c r="F15" i="11" s="1"/>
  <c r="F16" i="11" s="1"/>
  <c r="F17" i="11" s="1"/>
  <c r="D16" i="4"/>
  <c r="D9" i="4"/>
  <c r="D23" i="4"/>
  <c r="H16" i="11" s="1"/>
  <c r="C16" i="11"/>
  <c r="C17" i="11" s="1"/>
  <c r="C18" i="11" s="1"/>
  <c r="C19" i="11" s="1"/>
  <c r="C20" i="11" s="1"/>
  <c r="C21" i="11" s="1"/>
  <c r="I16" i="11"/>
  <c r="I17" i="11" s="1"/>
  <c r="I18" i="11" s="1"/>
  <c r="I19" i="11" s="1"/>
  <c r="I20" i="11" s="1"/>
  <c r="I21" i="11" s="1"/>
  <c r="I22" i="11" s="1"/>
  <c r="I23" i="11" s="1"/>
  <c r="I24" i="11" s="1"/>
  <c r="I25" i="11" s="1"/>
  <c r="I26" i="11" s="1"/>
  <c r="I27" i="11" s="1"/>
  <c r="I28" i="11" s="1"/>
  <c r="I29" i="11" s="1"/>
  <c r="I30" i="11" s="1"/>
  <c r="I31" i="11" s="1"/>
  <c r="I32" i="11" s="1"/>
  <c r="I33" i="11" s="1"/>
  <c r="I34" i="11" s="1"/>
  <c r="I35" i="11" s="1"/>
  <c r="K15" i="11"/>
  <c r="B15" i="11"/>
  <c r="O15" i="11" s="1"/>
  <c r="P15" i="11" s="1"/>
  <c r="D17" i="4" l="1"/>
  <c r="C3" i="7" s="1"/>
  <c r="B11" i="7" s="1"/>
  <c r="J20" i="11"/>
  <c r="J18" i="11"/>
  <c r="E16" i="11"/>
  <c r="J19" i="11"/>
  <c r="J17" i="11"/>
  <c r="J16" i="11"/>
  <c r="K16" i="11" s="1"/>
  <c r="C22" i="11"/>
  <c r="C23" i="11" s="1"/>
  <c r="C24" i="11" s="1"/>
  <c r="C25" i="11" s="1"/>
  <c r="C26" i="11" s="1"/>
  <c r="H17" i="11"/>
  <c r="D18" i="4"/>
  <c r="D22" i="4"/>
  <c r="E17" i="11"/>
  <c r="F18" i="11"/>
  <c r="D34" i="4"/>
  <c r="D11" i="7" l="1"/>
  <c r="C11" i="7"/>
  <c r="E11" i="7" s="1"/>
  <c r="E18" i="11"/>
  <c r="F19" i="11"/>
  <c r="K17" i="11"/>
  <c r="H18" i="11"/>
  <c r="J21" i="11"/>
  <c r="C27" i="11"/>
  <c r="C28" i="11" s="1"/>
  <c r="C29" i="11" s="1"/>
  <c r="C30" i="11" s="1"/>
  <c r="C31" i="11" s="1"/>
  <c r="B12" i="7" l="1"/>
  <c r="C12" i="7" s="1"/>
  <c r="C7" i="7"/>
  <c r="C32" i="11"/>
  <c r="C33" i="11" s="1"/>
  <c r="C34" i="11" s="1"/>
  <c r="C35" i="11" s="1"/>
  <c r="E19" i="11"/>
  <c r="F20" i="11"/>
  <c r="J26" i="11"/>
  <c r="J22" i="11"/>
  <c r="J24" i="11"/>
  <c r="J23" i="11"/>
  <c r="K18" i="11"/>
  <c r="H19" i="11"/>
  <c r="J25" i="11"/>
  <c r="D21" i="4" l="1"/>
  <c r="D12" i="7"/>
  <c r="B13" i="7" s="1"/>
  <c r="J28" i="11"/>
  <c r="E20" i="11"/>
  <c r="F21" i="11"/>
  <c r="J30" i="11"/>
  <c r="J31" i="11"/>
  <c r="J27" i="11"/>
  <c r="K19" i="11"/>
  <c r="H20" i="11"/>
  <c r="J29" i="11"/>
  <c r="G33" i="14" l="1"/>
  <c r="G31" i="14"/>
  <c r="G29" i="14"/>
  <c r="G27" i="14"/>
  <c r="G25" i="14"/>
  <c r="G23" i="14"/>
  <c r="G21" i="14"/>
  <c r="G19" i="14"/>
  <c r="G16" i="14"/>
  <c r="B11" i="14" s="1"/>
  <c r="G35" i="13"/>
  <c r="G30" i="13"/>
  <c r="G28" i="13"/>
  <c r="G26" i="13"/>
  <c r="G17" i="14"/>
  <c r="G32" i="13"/>
  <c r="G23" i="13"/>
  <c r="G34" i="13"/>
  <c r="G25" i="13"/>
  <c r="G18" i="13"/>
  <c r="G21" i="13"/>
  <c r="G17" i="13"/>
  <c r="G20" i="13"/>
  <c r="G19" i="13"/>
  <c r="G34" i="14"/>
  <c r="G32" i="14"/>
  <c r="G30" i="14"/>
  <c r="G28" i="14"/>
  <c r="G26" i="14"/>
  <c r="G24" i="14"/>
  <c r="G22" i="14"/>
  <c r="G20" i="14"/>
  <c r="G18" i="14"/>
  <c r="G31" i="13"/>
  <c r="G29" i="13"/>
  <c r="G27" i="13"/>
  <c r="G22" i="13"/>
  <c r="G16" i="13"/>
  <c r="B11" i="13" s="1"/>
  <c r="G24" i="13"/>
  <c r="G35" i="14"/>
  <c r="G33" i="13"/>
  <c r="E12" i="7"/>
  <c r="J35" i="11"/>
  <c r="E21" i="11"/>
  <c r="F22" i="11"/>
  <c r="K20" i="11"/>
  <c r="H21" i="11"/>
  <c r="C13" i="7"/>
  <c r="G17" i="11"/>
  <c r="L17" i="11" s="1"/>
  <c r="G19" i="11"/>
  <c r="L19" i="11" s="1"/>
  <c r="G21" i="11"/>
  <c r="G23" i="11"/>
  <c r="G25" i="11"/>
  <c r="G27" i="11"/>
  <c r="G29" i="11"/>
  <c r="G31" i="11"/>
  <c r="G33" i="11"/>
  <c r="G35" i="11"/>
  <c r="G16" i="11"/>
  <c r="L16" i="11" s="1"/>
  <c r="G22" i="11"/>
  <c r="G30" i="11"/>
  <c r="G24" i="11"/>
  <c r="G32" i="11"/>
  <c r="G18" i="11"/>
  <c r="L18" i="11" s="1"/>
  <c r="G26" i="11"/>
  <c r="G34" i="11"/>
  <c r="G20" i="11"/>
  <c r="L20" i="11" s="1"/>
  <c r="G28" i="11"/>
  <c r="J32" i="11"/>
  <c r="J34" i="11"/>
  <c r="J33" i="11"/>
  <c r="L21" i="11" l="1"/>
  <c r="O21" i="11" s="1"/>
  <c r="P21" i="11" s="1"/>
  <c r="D13" i="7"/>
  <c r="B14" i="7" s="1"/>
  <c r="E13" i="7"/>
  <c r="C14" i="7"/>
  <c r="O20" i="11"/>
  <c r="P20" i="11" s="1"/>
  <c r="E22" i="11"/>
  <c r="F23" i="11"/>
  <c r="O17" i="11"/>
  <c r="P17" i="11" s="1"/>
  <c r="O18" i="11"/>
  <c r="P18" i="11" s="1"/>
  <c r="B11" i="11"/>
  <c r="O16" i="11"/>
  <c r="H22" i="11"/>
  <c r="L22" i="11" s="1"/>
  <c r="K21" i="11"/>
  <c r="O19" i="11"/>
  <c r="P19" i="11" s="1"/>
  <c r="D14" i="7" l="1"/>
  <c r="B15" i="7" s="1"/>
  <c r="E14" i="7"/>
  <c r="O22" i="11"/>
  <c r="P22" i="11" s="1"/>
  <c r="C15" i="7"/>
  <c r="E23" i="11"/>
  <c r="F24" i="11"/>
  <c r="K22" i="11"/>
  <c r="H23" i="11"/>
  <c r="P16" i="11"/>
  <c r="D15" i="7" l="1"/>
  <c r="B16" i="7" s="1"/>
  <c r="E15" i="7"/>
  <c r="C16" i="7"/>
  <c r="K23" i="11"/>
  <c r="H24" i="11"/>
  <c r="L23" i="11"/>
  <c r="E24" i="11"/>
  <c r="F25" i="11"/>
  <c r="D16" i="7" l="1"/>
  <c r="B17" i="7" s="1"/>
  <c r="E16" i="7"/>
  <c r="C17" i="7"/>
  <c r="H25" i="11"/>
  <c r="K24" i="11"/>
  <c r="L24" i="11"/>
  <c r="E25" i="11"/>
  <c r="F26" i="11"/>
  <c r="O23" i="11"/>
  <c r="D17" i="7" l="1"/>
  <c r="B18" i="7" s="1"/>
  <c r="E17" i="7"/>
  <c r="E26" i="11"/>
  <c r="F27" i="11"/>
  <c r="K25" i="11"/>
  <c r="H26" i="11"/>
  <c r="L25" i="11"/>
  <c r="O24" i="11"/>
  <c r="P24" i="11" s="1"/>
  <c r="P23" i="11"/>
  <c r="C18" i="7"/>
  <c r="D18" i="7" l="1"/>
  <c r="B19" i="7" s="1"/>
  <c r="E18" i="7"/>
  <c r="C19" i="7"/>
  <c r="O25" i="11"/>
  <c r="H27" i="11"/>
  <c r="K26" i="11"/>
  <c r="L26" i="11"/>
  <c r="E27" i="11"/>
  <c r="F28" i="11"/>
  <c r="D19" i="7" l="1"/>
  <c r="B20" i="7" s="1"/>
  <c r="E19" i="7"/>
  <c r="C20" i="7"/>
  <c r="E28" i="11"/>
  <c r="F29" i="11"/>
  <c r="P25" i="11"/>
  <c r="O26" i="11"/>
  <c r="P26" i="11" s="1"/>
  <c r="H28" i="11"/>
  <c r="K27" i="11"/>
  <c r="L27" i="11"/>
  <c r="D20" i="7" l="1"/>
  <c r="B21" i="7" s="1"/>
  <c r="E20" i="7"/>
  <c r="C21" i="7"/>
  <c r="O27" i="11"/>
  <c r="P27" i="11" s="1"/>
  <c r="K28" i="11"/>
  <c r="H29" i="11"/>
  <c r="L28" i="11"/>
  <c r="E29" i="11"/>
  <c r="F30" i="11"/>
  <c r="D21" i="7" l="1"/>
  <c r="B22" i="7" s="1"/>
  <c r="C22" i="7" s="1"/>
  <c r="E21" i="7"/>
  <c r="H30" i="11"/>
  <c r="K29" i="11"/>
  <c r="L29" i="11"/>
  <c r="E30" i="11"/>
  <c r="F31" i="11"/>
  <c r="O28" i="11"/>
  <c r="P28" i="11" s="1"/>
  <c r="D22" i="7" l="1"/>
  <c r="B23" i="7" s="1"/>
  <c r="C23" i="7" s="1"/>
  <c r="E22" i="7"/>
  <c r="E31" i="11"/>
  <c r="F32" i="11"/>
  <c r="O29" i="11"/>
  <c r="P29" i="11" s="1"/>
  <c r="K30" i="11"/>
  <c r="H31" i="11"/>
  <c r="L30" i="11"/>
  <c r="D23" i="7" l="1"/>
  <c r="B24" i="7" s="1"/>
  <c r="C24" i="7" s="1"/>
  <c r="E23" i="7"/>
  <c r="O30" i="11"/>
  <c r="P30" i="11" s="1"/>
  <c r="K31" i="11"/>
  <c r="H32" i="11"/>
  <c r="L31" i="11"/>
  <c r="E32" i="11"/>
  <c r="F33" i="11"/>
  <c r="D24" i="7" l="1"/>
  <c r="B25" i="7" s="1"/>
  <c r="C25" i="7" s="1"/>
  <c r="E24" i="7"/>
  <c r="E33" i="11"/>
  <c r="F34" i="11"/>
  <c r="O31" i="11"/>
  <c r="P31" i="11" s="1"/>
  <c r="H33" i="11"/>
  <c r="K32" i="11"/>
  <c r="L32" i="11"/>
  <c r="D25" i="7" l="1"/>
  <c r="B26" i="7" s="1"/>
  <c r="C26" i="7" s="1"/>
  <c r="E25" i="7"/>
  <c r="O32" i="11"/>
  <c r="P32" i="11" s="1"/>
  <c r="K33" i="11"/>
  <c r="H34" i="11"/>
  <c r="L33" i="11"/>
  <c r="E34" i="11"/>
  <c r="F35" i="11"/>
  <c r="E35" i="11" s="1"/>
  <c r="D26" i="7" l="1"/>
  <c r="B27" i="7" s="1"/>
  <c r="C27" i="7" s="1"/>
  <c r="H35" i="11"/>
  <c r="L35" i="11" s="1"/>
  <c r="B35" i="11" s="1"/>
  <c r="K34" i="11"/>
  <c r="L34" i="11"/>
  <c r="O33" i="11"/>
  <c r="P33" i="11" s="1"/>
  <c r="B35" i="13" l="1"/>
  <c r="N35" i="13" s="1"/>
  <c r="N36" i="13" s="1"/>
  <c r="B35" i="14"/>
  <c r="N35" i="14" s="1"/>
  <c r="N36" i="14" s="1"/>
  <c r="E26" i="7"/>
  <c r="D27" i="7"/>
  <c r="B28" i="7" s="1"/>
  <c r="C28" i="7" s="1"/>
  <c r="E27" i="7"/>
  <c r="O34" i="11"/>
  <c r="P34" i="11" s="1"/>
  <c r="K35" i="11"/>
  <c r="D28" i="7" l="1"/>
  <c r="B29" i="7" s="1"/>
  <c r="C29" i="7" s="1"/>
  <c r="E28" i="7" l="1"/>
  <c r="D29" i="7"/>
  <c r="B30" i="7" s="1"/>
  <c r="C30" i="7" s="1"/>
  <c r="E29" i="7"/>
  <c r="D30" i="7" l="1"/>
  <c r="B31" i="7" s="1"/>
  <c r="C31" i="7" s="1"/>
  <c r="E30" i="7"/>
  <c r="M33" i="11"/>
  <c r="N33" i="11" s="1"/>
  <c r="M16" i="11"/>
  <c r="N16" i="11" s="1"/>
  <c r="M20" i="11"/>
  <c r="N20" i="11" s="1"/>
  <c r="M24" i="11"/>
  <c r="N24" i="11" s="1"/>
  <c r="M28" i="11"/>
  <c r="N28" i="11" s="1"/>
  <c r="M32" i="11"/>
  <c r="N32" i="11" s="1"/>
  <c r="M15" i="11"/>
  <c r="N15" i="11" s="1"/>
  <c r="M21" i="11"/>
  <c r="N21" i="11" s="1"/>
  <c r="M25" i="11"/>
  <c r="N25" i="11" s="1"/>
  <c r="M17" i="11"/>
  <c r="N17" i="11" s="1"/>
  <c r="M29" i="11"/>
  <c r="N29" i="11" s="1"/>
  <c r="M27" i="11"/>
  <c r="N27" i="11" s="1"/>
  <c r="M18" i="11"/>
  <c r="N18" i="11" s="1"/>
  <c r="M22" i="11"/>
  <c r="N22" i="11" s="1"/>
  <c r="M19" i="11"/>
  <c r="N19" i="11" s="1"/>
  <c r="M30" i="11"/>
  <c r="N30" i="11" s="1"/>
  <c r="M31" i="11"/>
  <c r="N31" i="11" s="1"/>
  <c r="M23" i="11"/>
  <c r="N23" i="11" s="1"/>
  <c r="M34" i="11"/>
  <c r="N34" i="11" s="1"/>
  <c r="M26" i="11"/>
  <c r="N26" i="11" s="1"/>
  <c r="M35" i="11"/>
  <c r="N35" i="11"/>
  <c r="O35" i="11"/>
  <c r="P35" i="11" s="1"/>
  <c r="N36" i="11" l="1"/>
  <c r="O36" i="11"/>
</calcChain>
</file>

<file path=xl/comments1.xml><?xml version="1.0" encoding="utf-8"?>
<comments xmlns="http://schemas.openxmlformats.org/spreadsheetml/2006/main">
  <authors>
    <author>Stefan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Stefan:</t>
        </r>
        <r>
          <rPr>
            <sz val="8"/>
            <color indexed="81"/>
            <rFont val="Tahoma"/>
            <family val="2"/>
          </rPr>
          <t xml:space="preserve">
Das Darlehen hat eine Laufzeit von 20 Jahren (KfW-Vorgabe). Die Haltedauer der Immobilien endet aber nach 15 Jahren, so daß die Restschuld vom Verkaufserlös abzuziehen ist.</t>
        </r>
      </text>
    </comment>
    <comment ref="D10" authorId="0">
      <text>
        <r>
          <rPr>
            <b/>
            <sz val="8"/>
            <color indexed="81"/>
            <rFont val="Tahoma"/>
            <family val="2"/>
          </rPr>
          <t>Stefan:</t>
        </r>
        <r>
          <rPr>
            <sz val="8"/>
            <color indexed="81"/>
            <rFont val="Tahoma"/>
            <family val="2"/>
          </rPr>
          <t xml:space="preserve">
Diesen Tilgungssatz habe ich so gewählt, daß bei einem Zins von 4,0 Prozent das Darlehen genau nach 20 Jahren (KfW-Vorgabe) getilgt ist.</t>
        </r>
      </text>
    </comment>
  </commentList>
</comments>
</file>

<file path=xl/sharedStrings.xml><?xml version="1.0" encoding="utf-8"?>
<sst xmlns="http://schemas.openxmlformats.org/spreadsheetml/2006/main" count="223" uniqueCount="114">
  <si>
    <t>Grunddaten</t>
  </si>
  <si>
    <t>Kapitalkosten</t>
  </si>
  <si>
    <t>Miete</t>
  </si>
  <si>
    <t>Nutzungsdauer Jahre</t>
  </si>
  <si>
    <t>Grundstückswert je m² Wohnfläche €</t>
  </si>
  <si>
    <t>I.</t>
  </si>
  <si>
    <t>Wohnfläche in m2</t>
  </si>
  <si>
    <t>Anzahl Wohneinheiten</t>
  </si>
  <si>
    <t>Zins für Fremdkapital in Prozent</t>
  </si>
  <si>
    <t>Verwaltungskosten je Wohneinheit €</t>
  </si>
  <si>
    <t>Instandhaltungskosten je m2 €</t>
  </si>
  <si>
    <t>Mietausfall in Prozent der Miete</t>
  </si>
  <si>
    <t>Gesamtkosten €</t>
  </si>
  <si>
    <t xml:space="preserve">II. </t>
  </si>
  <si>
    <t>Finanzierungsstruktur</t>
  </si>
  <si>
    <t>Fremdkapital €</t>
  </si>
  <si>
    <t>III.</t>
  </si>
  <si>
    <t>Laufende Auszahlungen ("Aufwendungen") im 1. Jahr</t>
  </si>
  <si>
    <t xml:space="preserve">A. </t>
  </si>
  <si>
    <t>Annuität auf das Hypothekendarlehen €</t>
  </si>
  <si>
    <t>B.</t>
  </si>
  <si>
    <t>IV.</t>
  </si>
  <si>
    <t>Instandsetzungskosten je m2 €</t>
  </si>
  <si>
    <t>Modernisierungskosten je m2 €</t>
  </si>
  <si>
    <t>Eigenkapital € (kalkulatorisch)</t>
  </si>
  <si>
    <t>Wert der Altbausbstanz je m² Wohnfläche</t>
  </si>
  <si>
    <t>anf. Tilgung Prozent</t>
  </si>
  <si>
    <t>t</t>
  </si>
  <si>
    <t>Restschuld €</t>
  </si>
  <si>
    <t>Zinsen €</t>
  </si>
  <si>
    <t>Tilgung €</t>
  </si>
  <si>
    <r>
      <t>i t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in Prozent</t>
    </r>
  </si>
  <si>
    <r>
      <t>i t</t>
    </r>
    <r>
      <rPr>
        <vertAlign val="subscript"/>
        <sz val="10"/>
        <rFont val="Arial"/>
        <family val="2"/>
      </rPr>
      <t>10</t>
    </r>
    <r>
      <rPr>
        <sz val="10"/>
        <rFont val="Arial"/>
      </rPr>
      <t xml:space="preserve"> in Prozent</t>
    </r>
  </si>
  <si>
    <t>Mieteinnahmen pro Jahr und Wohneinheit €</t>
  </si>
  <si>
    <t>bisherige Miete pro Monat und m2 €</t>
  </si>
  <si>
    <t>Modernisierungsumlage pro Monat und m2 €</t>
  </si>
  <si>
    <t>Miete nach Modernisierung pro Monat und m2 €</t>
  </si>
  <si>
    <t>IKV</t>
  </si>
  <si>
    <t>Miete1</t>
  </si>
  <si>
    <t>Miete2</t>
  </si>
  <si>
    <t>Miete3</t>
  </si>
  <si>
    <t>Miete4</t>
  </si>
  <si>
    <t>Verw.</t>
  </si>
  <si>
    <t>Inst.</t>
  </si>
  <si>
    <t>Mod.</t>
  </si>
  <si>
    <t>Ausfall</t>
  </si>
  <si>
    <t>cap rate</t>
  </si>
  <si>
    <t>exit rate</t>
  </si>
  <si>
    <t>Wertst.</t>
  </si>
  <si>
    <t>Wertentw.</t>
  </si>
  <si>
    <t>Kapital</t>
  </si>
  <si>
    <t>Inst.halt</t>
  </si>
  <si>
    <t>CF</t>
  </si>
  <si>
    <t>Abz.</t>
  </si>
  <si>
    <t>Barwerte</t>
  </si>
  <si>
    <t>CF2</t>
  </si>
  <si>
    <r>
      <t>Ausfall t</t>
    </r>
    <r>
      <rPr>
        <vertAlign val="subscript"/>
        <sz val="10"/>
        <rFont val="Arial"/>
        <family val="2"/>
      </rPr>
      <t>1</t>
    </r>
  </si>
  <si>
    <t>Bewirtschaftungskosten €</t>
  </si>
  <si>
    <t>Verwaltung €</t>
  </si>
  <si>
    <t>Instandhaltung €</t>
  </si>
  <si>
    <t>Instandsetzung €</t>
  </si>
  <si>
    <t>Modernisierung €</t>
  </si>
  <si>
    <t>Mietausfall €</t>
  </si>
  <si>
    <t>Vgl.miete</t>
  </si>
  <si>
    <t>Bew.</t>
  </si>
  <si>
    <t>Ann</t>
  </si>
  <si>
    <t>Annuität €</t>
  </si>
  <si>
    <t>Vergleichsmiete nach Modernisierung pro Monat und m2 €</t>
  </si>
  <si>
    <t>KalkZins</t>
  </si>
  <si>
    <t>bisherige Jahresmiete</t>
  </si>
  <si>
    <t>Anfängliches Mietdifferential</t>
  </si>
  <si>
    <r>
      <t>A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>/R</t>
    </r>
    <r>
      <rPr>
        <b/>
        <vertAlign val="subscript"/>
        <sz val="10"/>
        <rFont val="Arial"/>
        <family val="2"/>
      </rPr>
      <t>20</t>
    </r>
  </si>
  <si>
    <t>Zinsen</t>
  </si>
  <si>
    <t>Abschr.</t>
  </si>
  <si>
    <t>Denkmal</t>
  </si>
  <si>
    <t>Substanz</t>
  </si>
  <si>
    <t>Eink.VuV</t>
  </si>
  <si>
    <t>Est</t>
  </si>
  <si>
    <t>CF v.St.</t>
  </si>
  <si>
    <t>CF n.St.</t>
  </si>
  <si>
    <t>AfA %</t>
  </si>
  <si>
    <t>Steuersatz</t>
  </si>
  <si>
    <t>Herkunft</t>
  </si>
  <si>
    <r>
      <t>TZZ</t>
    </r>
    <r>
      <rPr>
        <sz val="10"/>
        <rFont val="Arial"/>
        <family val="2"/>
      </rPr>
      <t xml:space="preserve"> €</t>
    </r>
  </si>
  <si>
    <r>
      <t>i</t>
    </r>
    <r>
      <rPr>
        <vertAlign val="subscript"/>
        <sz val="10"/>
        <rFont val="Arial"/>
        <family val="2"/>
      </rPr>
      <t>eff</t>
    </r>
    <r>
      <rPr>
        <sz val="10"/>
        <rFont val="Arial"/>
        <family val="2"/>
      </rPr>
      <t xml:space="preserve"> in Prozent</t>
    </r>
  </si>
  <si>
    <t>KfW-Rechner</t>
  </si>
  <si>
    <r>
      <t>i t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in Prozent</t>
    </r>
  </si>
  <si>
    <t>KfW-Kond.</t>
  </si>
  <si>
    <r>
      <t>i t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 xml:space="preserve"> in Prozent</t>
    </r>
  </si>
  <si>
    <t>Ann. Kofner</t>
  </si>
  <si>
    <t>tilgungsfrei</t>
  </si>
  <si>
    <t>nachrichtl.</t>
  </si>
  <si>
    <t>Vorgabe RS 0</t>
  </si>
  <si>
    <r>
      <t>Ann t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-t</t>
    </r>
    <r>
      <rPr>
        <vertAlign val="subscript"/>
        <sz val="10"/>
        <rFont val="Arial"/>
        <family val="2"/>
      </rPr>
      <t>3</t>
    </r>
  </si>
  <si>
    <r>
      <t>Ann t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-t</t>
    </r>
    <r>
      <rPr>
        <vertAlign val="subscript"/>
        <sz val="10"/>
        <rFont val="Arial"/>
        <family val="2"/>
      </rPr>
      <t>10</t>
    </r>
  </si>
  <si>
    <r>
      <t>Ann t</t>
    </r>
    <r>
      <rPr>
        <vertAlign val="subscript"/>
        <sz val="10"/>
        <rFont val="Arial"/>
        <family val="2"/>
      </rPr>
      <t>11</t>
    </r>
    <r>
      <rPr>
        <sz val="10"/>
        <rFont val="Arial"/>
        <family val="2"/>
      </rPr>
      <t>-t</t>
    </r>
    <r>
      <rPr>
        <vertAlign val="subscript"/>
        <sz val="10"/>
        <rFont val="Arial"/>
        <family val="2"/>
      </rPr>
      <t>15</t>
    </r>
  </si>
  <si>
    <t>intern</t>
  </si>
  <si>
    <t>i Ref</t>
  </si>
  <si>
    <t>extern rech.</t>
  </si>
  <si>
    <t>Modernisierung</t>
  </si>
  <si>
    <t>Sollzins p.a.</t>
  </si>
  <si>
    <t>Zahlungsturnus</t>
  </si>
  <si>
    <t>monatlich</t>
  </si>
  <si>
    <t>Komplettsanierung zum KfW-Effizienzhaus 100 (151)</t>
  </si>
  <si>
    <t>10% v.  Kredit</t>
  </si>
  <si>
    <t>Laufzeit in Jahren</t>
  </si>
  <si>
    <t>tilgungsfreie Anlaufjahre</t>
  </si>
  <si>
    <t>Zinsbindung in Jahren</t>
  </si>
  <si>
    <t>Anfangstilgung %</t>
  </si>
  <si>
    <t>Tilgungszuschuß</t>
  </si>
  <si>
    <t>anf. Tilgung %</t>
  </si>
  <si>
    <t>forts1 Tilgung %</t>
  </si>
  <si>
    <t>forts2 Tilgung %</t>
  </si>
  <si>
    <t>Zinserm. 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</si>
</sst>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0.000"/>
    <numFmt numFmtId="167" formatCode="0.00000000"/>
    <numFmt numFmtId="168" formatCode="#,##0.0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u/>
      <sz val="10"/>
      <name val="Arial"/>
      <family val="2"/>
    </font>
    <font>
      <sz val="8"/>
      <name val="Arial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FF9999"/>
      <name val="Arial"/>
      <family val="2"/>
    </font>
    <font>
      <sz val="10"/>
      <color rgb="FF7030A0"/>
      <name val="Arial"/>
      <family val="2"/>
    </font>
    <font>
      <sz val="10"/>
      <color theme="8" tint="-0.499984740745262"/>
      <name val="Arial"/>
      <family val="2"/>
    </font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/>
    </xf>
    <xf numFmtId="3" fontId="2" fillId="0" borderId="0" xfId="0" applyNumberFormat="1" applyFont="1"/>
    <xf numFmtId="165" fontId="0" fillId="0" borderId="0" xfId="0" applyNumberForma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4" fontId="0" fillId="0" borderId="0" xfId="0" applyNumberFormat="1"/>
    <xf numFmtId="3" fontId="2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1" xfId="0" applyNumberFormat="1" applyFont="1" applyBorder="1" applyAlignment="1">
      <alignment horizontal="right"/>
    </xf>
    <xf numFmtId="164" fontId="0" fillId="0" borderId="0" xfId="0" applyNumberForma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0" xfId="0" applyFill="1"/>
    <xf numFmtId="3" fontId="1" fillId="0" borderId="0" xfId="0" applyNumberFormat="1" applyFont="1" applyFill="1"/>
    <xf numFmtId="167" fontId="0" fillId="0" borderId="0" xfId="0" applyNumberFormat="1" applyFill="1"/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3" fontId="0" fillId="2" borderId="0" xfId="0" applyNumberFormat="1" applyFill="1"/>
    <xf numFmtId="0" fontId="0" fillId="2" borderId="0" xfId="0" applyFill="1"/>
    <xf numFmtId="0" fontId="1" fillId="3" borderId="0" xfId="0" applyFont="1" applyFill="1" applyAlignment="1">
      <alignment horizontal="center"/>
    </xf>
    <xf numFmtId="3" fontId="0" fillId="3" borderId="0" xfId="0" applyNumberFormat="1" applyFill="1"/>
    <xf numFmtId="0" fontId="0" fillId="3" borderId="0" xfId="0" applyFill="1"/>
    <xf numFmtId="3" fontId="10" fillId="3" borderId="0" xfId="0" applyNumberFormat="1" applyFont="1" applyFill="1"/>
    <xf numFmtId="0" fontId="1" fillId="4" borderId="0" xfId="0" applyFont="1" applyFill="1" applyAlignment="1">
      <alignment horizontal="center"/>
    </xf>
    <xf numFmtId="3" fontId="0" fillId="4" borderId="0" xfId="0" applyNumberFormat="1" applyFill="1" applyAlignment="1">
      <alignment horizontal="right"/>
    </xf>
    <xf numFmtId="3" fontId="0" fillId="4" borderId="0" xfId="0" applyNumberFormat="1" applyFill="1"/>
    <xf numFmtId="0" fontId="0" fillId="4" borderId="0" xfId="0" applyFill="1"/>
    <xf numFmtId="168" fontId="0" fillId="4" borderId="0" xfId="0" applyNumberFormat="1" applyFill="1"/>
    <xf numFmtId="3" fontId="10" fillId="4" borderId="0" xfId="0" applyNumberFormat="1" applyFont="1" applyFill="1"/>
    <xf numFmtId="3" fontId="2" fillId="4" borderId="0" xfId="0" applyNumberFormat="1" applyFont="1" applyFill="1" applyAlignment="1">
      <alignment horizontal="right"/>
    </xf>
    <xf numFmtId="165" fontId="0" fillId="3" borderId="0" xfId="0" applyNumberFormat="1" applyFill="1"/>
    <xf numFmtId="3" fontId="11" fillId="2" borderId="0" xfId="0" applyNumberFormat="1" applyFont="1" applyFill="1"/>
    <xf numFmtId="0" fontId="0" fillId="0" borderId="0" xfId="0" applyFill="1" applyAlignment="1">
      <alignment horizontal="center"/>
    </xf>
    <xf numFmtId="0" fontId="13" fillId="0" borderId="0" xfId="0" applyFont="1" applyAlignment="1">
      <alignment horizontal="center"/>
    </xf>
    <xf numFmtId="4" fontId="2" fillId="5" borderId="0" xfId="0" applyNumberFormat="1" applyFont="1" applyFill="1"/>
    <xf numFmtId="4" fontId="0" fillId="5" borderId="0" xfId="0" applyNumberFormat="1" applyFill="1"/>
    <xf numFmtId="3" fontId="0" fillId="0" borderId="1" xfId="0" applyNumberFormat="1" applyBorder="1"/>
    <xf numFmtId="4" fontId="0" fillId="0" borderId="1" xfId="0" applyNumberFormat="1" applyBorder="1"/>
    <xf numFmtId="2" fontId="0" fillId="0" borderId="0" xfId="1" applyNumberFormat="1" applyFont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4" fontId="0" fillId="0" borderId="0" xfId="0" applyNumberFormat="1" applyBorder="1"/>
    <xf numFmtId="3" fontId="9" fillId="0" borderId="0" xfId="0" applyNumberFormat="1" applyFont="1" applyBorder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85110645613106"/>
          <c:y val="8.114824439510647E-2"/>
          <c:w val="0.82606209466445746"/>
          <c:h val="0.751814617189957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'iWoTab GK'!$L$16:$L$35</c:f>
              <c:numCache>
                <c:formatCode>#,##0</c:formatCode>
                <c:ptCount val="20"/>
                <c:pt idx="0">
                  <c:v>59916</c:v>
                </c:pt>
                <c:pt idx="1">
                  <c:v>59755.5</c:v>
                </c:pt>
                <c:pt idx="2">
                  <c:v>59592.592499999999</c:v>
                </c:pt>
                <c:pt idx="3">
                  <c:v>59427.241387500006</c:v>
                </c:pt>
                <c:pt idx="4">
                  <c:v>59259.410008312509</c:v>
                </c:pt>
                <c:pt idx="5">
                  <c:v>59089.061158437195</c:v>
                </c:pt>
                <c:pt idx="6">
                  <c:v>58916.157075813753</c:v>
                </c:pt>
                <c:pt idx="7">
                  <c:v>58740.65943195096</c:v>
                </c:pt>
                <c:pt idx="8">
                  <c:v>58562.529323430223</c:v>
                </c:pt>
                <c:pt idx="9">
                  <c:v>58381.727263281682</c:v>
                </c:pt>
                <c:pt idx="10">
                  <c:v>58198.213172230913</c:v>
                </c:pt>
                <c:pt idx="11">
                  <c:v>58011.946369814374</c:v>
                </c:pt>
                <c:pt idx="12">
                  <c:v>57822.88556536159</c:v>
                </c:pt>
                <c:pt idx="13">
                  <c:v>57630.988848842011</c:v>
                </c:pt>
                <c:pt idx="14">
                  <c:v>57436.213681574649</c:v>
                </c:pt>
                <c:pt idx="15">
                  <c:v>57238.516886798272</c:v>
                </c:pt>
                <c:pt idx="16">
                  <c:v>57037.854640100239</c:v>
                </c:pt>
                <c:pt idx="17">
                  <c:v>56834.182459701748</c:v>
                </c:pt>
                <c:pt idx="18">
                  <c:v>56627.455196597279</c:v>
                </c:pt>
                <c:pt idx="19">
                  <c:v>56417.627024546236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62464"/>
        <c:axId val="144023552"/>
      </c:barChart>
      <c:catAx>
        <c:axId val="1440624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</a:t>
                </a:r>
              </a:p>
            </c:rich>
          </c:tx>
          <c:layout>
            <c:manualLayout>
              <c:xMode val="edge"/>
              <c:yMode val="edge"/>
              <c:x val="0.55978133349038461"/>
              <c:y val="0.87115027071217255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144023552"/>
        <c:crosses val="autoZero"/>
        <c:auto val="1"/>
        <c:lblAlgn val="ctr"/>
        <c:lblOffset val="100"/>
        <c:noMultiLvlLbl val="0"/>
      </c:catAx>
      <c:valAx>
        <c:axId val="14402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CF</a:t>
                </a:r>
              </a:p>
            </c:rich>
          </c:tx>
          <c:layout>
            <c:manualLayout>
              <c:xMode val="edge"/>
              <c:yMode val="edge"/>
              <c:x val="2.2485930943588386E-2"/>
              <c:y val="0.417674787327753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4062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85110645613106"/>
          <c:y val="8.114824439510647E-2"/>
          <c:w val="0.82606209466445746"/>
          <c:h val="0.751814617189957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'iWoTab EK'!$L$16:$L$35</c:f>
              <c:numCache>
                <c:formatCode>#,##0</c:formatCode>
                <c:ptCount val="20"/>
                <c:pt idx="0">
                  <c:v>20775.712</c:v>
                </c:pt>
                <c:pt idx="1">
                  <c:v>20615.212</c:v>
                </c:pt>
                <c:pt idx="2">
                  <c:v>20452.304500000006</c:v>
                </c:pt>
                <c:pt idx="3">
                  <c:v>20286.953387499998</c:v>
                </c:pt>
                <c:pt idx="4">
                  <c:v>20119.122008312508</c:v>
                </c:pt>
                <c:pt idx="5">
                  <c:v>19948.773158437194</c:v>
                </c:pt>
                <c:pt idx="6">
                  <c:v>19775.869075813753</c:v>
                </c:pt>
                <c:pt idx="7">
                  <c:v>19600.37143195096</c:v>
                </c:pt>
                <c:pt idx="8">
                  <c:v>19422.241323430229</c:v>
                </c:pt>
                <c:pt idx="9">
                  <c:v>19241.439263281682</c:v>
                </c:pt>
                <c:pt idx="10">
                  <c:v>19057.925172230913</c:v>
                </c:pt>
                <c:pt idx="11">
                  <c:v>18871.658369814373</c:v>
                </c:pt>
                <c:pt idx="12">
                  <c:v>18682.59756536159</c:v>
                </c:pt>
                <c:pt idx="13">
                  <c:v>18490.700848842011</c:v>
                </c:pt>
                <c:pt idx="14">
                  <c:v>18295.925681574648</c:v>
                </c:pt>
                <c:pt idx="15">
                  <c:v>18098.228886798272</c:v>
                </c:pt>
                <c:pt idx="16">
                  <c:v>17897.566640100238</c:v>
                </c:pt>
                <c:pt idx="17">
                  <c:v>17693.89445970174</c:v>
                </c:pt>
                <c:pt idx="18">
                  <c:v>17487.167196597278</c:v>
                </c:pt>
                <c:pt idx="19">
                  <c:v>17277.339024546236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82912"/>
        <c:axId val="144025280"/>
      </c:barChart>
      <c:catAx>
        <c:axId val="66982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</a:t>
                </a:r>
              </a:p>
            </c:rich>
          </c:tx>
          <c:layout>
            <c:manualLayout>
              <c:xMode val="edge"/>
              <c:yMode val="edge"/>
              <c:x val="0.55978133349038461"/>
              <c:y val="0.87115027071217255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144025280"/>
        <c:crosses val="autoZero"/>
        <c:auto val="1"/>
        <c:lblAlgn val="ctr"/>
        <c:lblOffset val="100"/>
        <c:noMultiLvlLbl val="0"/>
      </c:catAx>
      <c:valAx>
        <c:axId val="14402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CF</a:t>
                </a:r>
              </a:p>
            </c:rich>
          </c:tx>
          <c:layout>
            <c:manualLayout>
              <c:xMode val="edge"/>
              <c:yMode val="edge"/>
              <c:x val="2.2485930943588386E-2"/>
              <c:y val="0.417674787327753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6982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85110645613106"/>
          <c:y val="8.114824439510647E-2"/>
          <c:w val="0.82606209466445746"/>
          <c:h val="0.751814617189957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'iWoTab EK KfW'!$L$16:$L$35</c:f>
              <c:numCache>
                <c:formatCode>#,##0</c:formatCode>
                <c:ptCount val="20"/>
                <c:pt idx="0">
                  <c:v>47278.400000000001</c:v>
                </c:pt>
                <c:pt idx="1">
                  <c:v>47597.9</c:v>
                </c:pt>
                <c:pt idx="2">
                  <c:v>47434.992500000008</c:v>
                </c:pt>
                <c:pt idx="3">
                  <c:v>11479.881387499998</c:v>
                </c:pt>
                <c:pt idx="4">
                  <c:v>11312.050008312508</c:v>
                </c:pt>
                <c:pt idx="5">
                  <c:v>11141.701158437194</c:v>
                </c:pt>
                <c:pt idx="6">
                  <c:v>10968.797075813753</c:v>
                </c:pt>
                <c:pt idx="7">
                  <c:v>10793.29943195096</c:v>
                </c:pt>
                <c:pt idx="8">
                  <c:v>10615.169323430229</c:v>
                </c:pt>
                <c:pt idx="9">
                  <c:v>10434.367263281682</c:v>
                </c:pt>
                <c:pt idx="10">
                  <c:v>10936.614399437545</c:v>
                </c:pt>
                <c:pt idx="11">
                  <c:v>10750.347597021006</c:v>
                </c:pt>
                <c:pt idx="12">
                  <c:v>10561.286792568222</c:v>
                </c:pt>
                <c:pt idx="13">
                  <c:v>10369.390076048643</c:v>
                </c:pt>
                <c:pt idx="14">
                  <c:v>10174.614908781281</c:v>
                </c:pt>
                <c:pt idx="15">
                  <c:v>9976.9181140048968</c:v>
                </c:pt>
                <c:pt idx="16">
                  <c:v>9776.2558673068706</c:v>
                </c:pt>
                <c:pt idx="17">
                  <c:v>9572.5836869083796</c:v>
                </c:pt>
                <c:pt idx="18">
                  <c:v>9365.8564238039107</c:v>
                </c:pt>
                <c:pt idx="19">
                  <c:v>9156.0282517528685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90880"/>
        <c:axId val="41835840"/>
      </c:barChart>
      <c:catAx>
        <c:axId val="472908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</a:t>
                </a:r>
              </a:p>
            </c:rich>
          </c:tx>
          <c:layout>
            <c:manualLayout>
              <c:xMode val="edge"/>
              <c:yMode val="edge"/>
              <c:x val="0.55978133349038461"/>
              <c:y val="0.87115027071217255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41835840"/>
        <c:crosses val="autoZero"/>
        <c:auto val="1"/>
        <c:lblAlgn val="ctr"/>
        <c:lblOffset val="100"/>
        <c:noMultiLvlLbl val="0"/>
      </c:catAx>
      <c:valAx>
        <c:axId val="4183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CF</a:t>
                </a:r>
              </a:p>
            </c:rich>
          </c:tx>
          <c:layout>
            <c:manualLayout>
              <c:xMode val="edge"/>
              <c:yMode val="edge"/>
              <c:x val="2.2485930943588386E-2"/>
              <c:y val="0.417674787327753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729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85110645613106"/>
          <c:y val="8.114824439510647E-2"/>
          <c:w val="0.82606209466445746"/>
          <c:h val="0.751814617189957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'iWoTab GK (NichtVerk)'!$L$16:$L$35</c:f>
              <c:numCache>
                <c:formatCode>#,##0</c:formatCode>
                <c:ptCount val="20"/>
                <c:pt idx="0">
                  <c:v>31980</c:v>
                </c:pt>
                <c:pt idx="1">
                  <c:v>31819.5</c:v>
                </c:pt>
                <c:pt idx="2">
                  <c:v>31656.592500000002</c:v>
                </c:pt>
                <c:pt idx="3">
                  <c:v>31491.241387500006</c:v>
                </c:pt>
                <c:pt idx="4">
                  <c:v>31323.410008312505</c:v>
                </c:pt>
                <c:pt idx="5">
                  <c:v>31153.061158437195</c:v>
                </c:pt>
                <c:pt idx="6">
                  <c:v>30980.157075813753</c:v>
                </c:pt>
                <c:pt idx="7">
                  <c:v>30804.65943195096</c:v>
                </c:pt>
                <c:pt idx="8">
                  <c:v>30626.529323430226</c:v>
                </c:pt>
                <c:pt idx="9">
                  <c:v>30445.727263281682</c:v>
                </c:pt>
                <c:pt idx="10">
                  <c:v>30262.21317223091</c:v>
                </c:pt>
                <c:pt idx="11">
                  <c:v>30075.946369814374</c:v>
                </c:pt>
                <c:pt idx="12">
                  <c:v>29886.88556536159</c:v>
                </c:pt>
                <c:pt idx="13">
                  <c:v>29694.988848842015</c:v>
                </c:pt>
                <c:pt idx="14">
                  <c:v>29500.213681574649</c:v>
                </c:pt>
                <c:pt idx="15">
                  <c:v>29302.516886798268</c:v>
                </c:pt>
                <c:pt idx="16">
                  <c:v>29101.854640100242</c:v>
                </c:pt>
                <c:pt idx="17">
                  <c:v>28898.182459701748</c:v>
                </c:pt>
                <c:pt idx="18">
                  <c:v>28691.455196597275</c:v>
                </c:pt>
                <c:pt idx="19">
                  <c:v>28481.627024546236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44096"/>
        <c:axId val="144027008"/>
      </c:barChart>
      <c:catAx>
        <c:axId val="1446440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</a:t>
                </a:r>
              </a:p>
            </c:rich>
          </c:tx>
          <c:layout>
            <c:manualLayout>
              <c:xMode val="edge"/>
              <c:yMode val="edge"/>
              <c:x val="0.55978133349038461"/>
              <c:y val="0.87115027071217255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144027008"/>
        <c:crosses val="autoZero"/>
        <c:auto val="1"/>
        <c:lblAlgn val="ctr"/>
        <c:lblOffset val="100"/>
        <c:noMultiLvlLbl val="0"/>
      </c:catAx>
      <c:valAx>
        <c:axId val="14402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CF</a:t>
                </a:r>
              </a:p>
            </c:rich>
          </c:tx>
          <c:layout>
            <c:manualLayout>
              <c:xMode val="edge"/>
              <c:yMode val="edge"/>
              <c:x val="2.2485930943588386E-2"/>
              <c:y val="0.417674787327753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4644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37</xdr:row>
      <xdr:rowOff>0</xdr:rowOff>
    </xdr:from>
    <xdr:to>
      <xdr:col>12</xdr:col>
      <xdr:colOff>236004</xdr:colOff>
      <xdr:row>56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37</xdr:row>
      <xdr:rowOff>0</xdr:rowOff>
    </xdr:from>
    <xdr:to>
      <xdr:col>12</xdr:col>
      <xdr:colOff>236004</xdr:colOff>
      <xdr:row>56</xdr:row>
      <xdr:rowOff>7620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37</xdr:row>
      <xdr:rowOff>0</xdr:rowOff>
    </xdr:from>
    <xdr:to>
      <xdr:col>12</xdr:col>
      <xdr:colOff>236004</xdr:colOff>
      <xdr:row>56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37</xdr:row>
      <xdr:rowOff>0</xdr:rowOff>
    </xdr:from>
    <xdr:to>
      <xdr:col>12</xdr:col>
      <xdr:colOff>236004</xdr:colOff>
      <xdr:row>56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StratQuader%20Seminar%20II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beiver/Dienst%20ZI/Lehre/Eigene%20Lehrauftr&#228;ge/Haufe/Tab/141008%20Quartier_6_Liter_neu_mit_Kommentaren_und_LeerInvest%20V%2011_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_DAT"/>
      <sheetName val="TP1"/>
      <sheetName val="ZR1"/>
      <sheetName val="GuV 1"/>
    </sheetNames>
    <sheetDataSet>
      <sheetData sheetId="0">
        <row r="31">
          <cell r="D31">
            <v>0</v>
          </cell>
        </row>
        <row r="32">
          <cell r="D32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WoDat"/>
      <sheetName val="Übersicht"/>
      <sheetName val="Maßn"/>
      <sheetName val="iWoTab Mod"/>
      <sheetName val="iWoSt Mod"/>
      <sheetName val="iWoDarl2"/>
      <sheetName val="iWoDarl2_Qu"/>
      <sheetName val="iWoDarl2_Spgl"/>
      <sheetName val="Miete und Erlösschmälerung"/>
      <sheetName val="iWoTab Inst"/>
      <sheetName val="iWoTab Inst (lev)"/>
      <sheetName val="iWoSt Inst"/>
      <sheetName val="iWoDarl1"/>
      <sheetName val="iWoDarl1 (lev)"/>
      <sheetName val="iWoTab Mod (P)"/>
      <sheetName val="iWoSt Mod (P)"/>
      <sheetName val="iWoTab Inst (P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4"/>
  <sheetViews>
    <sheetView topLeftCell="B1" zoomScale="120" workbookViewId="0">
      <selection activeCell="D21" sqref="D21"/>
    </sheetView>
  </sheetViews>
  <sheetFormatPr baseColWidth="10" defaultRowHeight="13.2" x14ac:dyDescent="0.25"/>
  <cols>
    <col min="2" max="2" width="3.44140625" bestFit="1" customWidth="1"/>
    <col min="3" max="3" width="48.44140625" bestFit="1" customWidth="1"/>
    <col min="4" max="4" width="22.88671875" bestFit="1" customWidth="1"/>
    <col min="5" max="5" width="8" bestFit="1" customWidth="1"/>
  </cols>
  <sheetData>
    <row r="2" spans="2:4" x14ac:dyDescent="0.25">
      <c r="B2" s="2" t="s">
        <v>5</v>
      </c>
      <c r="C2" s="2" t="s">
        <v>0</v>
      </c>
      <c r="D2" s="2"/>
    </row>
    <row r="3" spans="2:4" x14ac:dyDescent="0.25">
      <c r="C3" t="s">
        <v>6</v>
      </c>
      <c r="D3" s="3">
        <v>800</v>
      </c>
    </row>
    <row r="4" spans="2:4" x14ac:dyDescent="0.25">
      <c r="C4" t="s">
        <v>7</v>
      </c>
      <c r="D4" s="3">
        <v>10</v>
      </c>
    </row>
    <row r="5" spans="2:4" x14ac:dyDescent="0.25">
      <c r="C5" t="s">
        <v>4</v>
      </c>
      <c r="D5" s="3">
        <v>50</v>
      </c>
    </row>
    <row r="6" spans="2:4" x14ac:dyDescent="0.25">
      <c r="C6" t="s">
        <v>25</v>
      </c>
      <c r="D6" s="3">
        <v>250</v>
      </c>
    </row>
    <row r="7" spans="2:4" x14ac:dyDescent="0.25">
      <c r="C7" t="s">
        <v>8</v>
      </c>
      <c r="D7">
        <v>2</v>
      </c>
    </row>
    <row r="8" spans="2:4" x14ac:dyDescent="0.25">
      <c r="C8" t="s">
        <v>9</v>
      </c>
      <c r="D8">
        <v>370</v>
      </c>
    </row>
    <row r="9" spans="2:4" x14ac:dyDescent="0.25">
      <c r="C9" t="s">
        <v>10</v>
      </c>
      <c r="D9">
        <f>D24/D3</f>
        <v>8.75</v>
      </c>
    </row>
    <row r="10" spans="2:4" x14ac:dyDescent="0.25">
      <c r="C10" t="s">
        <v>11</v>
      </c>
      <c r="D10">
        <v>3</v>
      </c>
    </row>
    <row r="11" spans="2:4" x14ac:dyDescent="0.25">
      <c r="C11" t="s">
        <v>22</v>
      </c>
      <c r="D11" s="7">
        <v>300</v>
      </c>
    </row>
    <row r="12" spans="2:4" x14ac:dyDescent="0.25">
      <c r="C12" t="s">
        <v>23</v>
      </c>
      <c r="D12" s="7">
        <v>500</v>
      </c>
    </row>
    <row r="13" spans="2:4" x14ac:dyDescent="0.25">
      <c r="C13" t="s">
        <v>12</v>
      </c>
      <c r="D13" s="4">
        <f>D11+D12</f>
        <v>800</v>
      </c>
    </row>
    <row r="14" spans="2:4" x14ac:dyDescent="0.25">
      <c r="C14" t="s">
        <v>3</v>
      </c>
      <c r="D14" s="8">
        <v>20</v>
      </c>
    </row>
    <row r="15" spans="2:4" x14ac:dyDescent="0.25">
      <c r="B15" s="2" t="s">
        <v>13</v>
      </c>
      <c r="C15" s="2" t="s">
        <v>14</v>
      </c>
      <c r="D15" s="2"/>
    </row>
    <row r="16" spans="2:4" x14ac:dyDescent="0.25">
      <c r="C16" t="s">
        <v>24</v>
      </c>
      <c r="D16" s="3">
        <f>(D5+D6)*D3</f>
        <v>240000</v>
      </c>
    </row>
    <row r="17" spans="2:4" x14ac:dyDescent="0.25">
      <c r="C17" t="s">
        <v>15</v>
      </c>
      <c r="D17" s="3">
        <f>D13*D3</f>
        <v>640000</v>
      </c>
    </row>
    <row r="18" spans="2:4" x14ac:dyDescent="0.25">
      <c r="C18" t="s">
        <v>12</v>
      </c>
      <c r="D18" s="3">
        <f>D16+D17</f>
        <v>880000</v>
      </c>
    </row>
    <row r="19" spans="2:4" x14ac:dyDescent="0.25">
      <c r="B19" s="2" t="s">
        <v>16</v>
      </c>
      <c r="C19" s="2" t="s">
        <v>17</v>
      </c>
      <c r="D19" s="2"/>
    </row>
    <row r="20" spans="2:4" x14ac:dyDescent="0.25">
      <c r="B20" t="s">
        <v>18</v>
      </c>
      <c r="C20" t="s">
        <v>1</v>
      </c>
    </row>
    <row r="21" spans="2:4" x14ac:dyDescent="0.25">
      <c r="C21" t="s">
        <v>19</v>
      </c>
      <c r="D21" s="4">
        <f>iWoDarl!$C$7</f>
        <v>39140.288</v>
      </c>
    </row>
    <row r="22" spans="2:4" x14ac:dyDescent="0.25">
      <c r="B22" t="s">
        <v>20</v>
      </c>
      <c r="C22" t="s">
        <v>57</v>
      </c>
      <c r="D22" s="4">
        <f>SUM(D23:D27)</f>
        <v>12884</v>
      </c>
    </row>
    <row r="23" spans="2:4" x14ac:dyDescent="0.25">
      <c r="C23" t="s">
        <v>58</v>
      </c>
      <c r="D23" s="5">
        <f>D8*D4</f>
        <v>3700</v>
      </c>
    </row>
    <row r="24" spans="2:4" x14ac:dyDescent="0.25">
      <c r="C24" t="s">
        <v>59</v>
      </c>
      <c r="D24" s="5">
        <v>7000</v>
      </c>
    </row>
    <row r="25" spans="2:4" x14ac:dyDescent="0.25">
      <c r="C25" t="s">
        <v>60</v>
      </c>
      <c r="D25" s="5">
        <v>0</v>
      </c>
    </row>
    <row r="26" spans="2:4" x14ac:dyDescent="0.25">
      <c r="C26" t="s">
        <v>61</v>
      </c>
      <c r="D26" s="5">
        <v>0</v>
      </c>
    </row>
    <row r="27" spans="2:4" x14ac:dyDescent="0.25">
      <c r="C27" t="s">
        <v>62</v>
      </c>
      <c r="D27" s="5">
        <v>2184</v>
      </c>
    </row>
    <row r="28" spans="2:4" x14ac:dyDescent="0.25">
      <c r="B28" s="2" t="s">
        <v>21</v>
      </c>
      <c r="C28" s="2" t="s">
        <v>33</v>
      </c>
      <c r="D28" s="4">
        <f>D34*12*D3</f>
        <v>72800</v>
      </c>
    </row>
    <row r="29" spans="2:4" x14ac:dyDescent="0.25">
      <c r="B29" s="2"/>
      <c r="C29" t="s">
        <v>34</v>
      </c>
      <c r="D29" s="10">
        <v>3</v>
      </c>
    </row>
    <row r="30" spans="2:4" x14ac:dyDescent="0.25">
      <c r="B30" s="2"/>
      <c r="C30" s="1" t="s">
        <v>69</v>
      </c>
      <c r="D30" s="8">
        <f>D29*D3*12</f>
        <v>28800</v>
      </c>
    </row>
    <row r="31" spans="2:4" x14ac:dyDescent="0.25">
      <c r="B31" s="2"/>
      <c r="C31" s="1" t="s">
        <v>70</v>
      </c>
      <c r="D31" s="8">
        <f>D28-D30</f>
        <v>44000</v>
      </c>
    </row>
    <row r="32" spans="2:4" x14ac:dyDescent="0.25">
      <c r="B32" s="2"/>
      <c r="C32" s="1" t="s">
        <v>35</v>
      </c>
      <c r="D32" s="10">
        <f>D12*0.11/12</f>
        <v>4.583333333333333</v>
      </c>
    </row>
    <row r="33" spans="2:4" x14ac:dyDescent="0.25">
      <c r="B33" s="2"/>
      <c r="C33" s="1" t="s">
        <v>67</v>
      </c>
      <c r="D33" s="10">
        <v>5.5</v>
      </c>
    </row>
    <row r="34" spans="2:4" x14ac:dyDescent="0.25">
      <c r="C34" t="s">
        <v>36</v>
      </c>
      <c r="D34" s="6">
        <f>D29+D32</f>
        <v>7.583333333333333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40" zoomScale="125" workbookViewId="0">
      <selection activeCell="N44" sqref="N44"/>
    </sheetView>
  </sheetViews>
  <sheetFormatPr baseColWidth="10" defaultRowHeight="13.2" x14ac:dyDescent="0.25"/>
  <cols>
    <col min="1" max="1" width="7.88671875" bestFit="1" customWidth="1"/>
    <col min="2" max="2" width="10.109375" customWidth="1"/>
    <col min="3" max="3" width="9.6640625" customWidth="1"/>
    <col min="4" max="4" width="6.6640625" customWidth="1"/>
    <col min="5" max="5" width="7.44140625" customWidth="1"/>
    <col min="6" max="6" width="10.33203125" customWidth="1"/>
    <col min="7" max="7" width="7.44140625" customWidth="1"/>
    <col min="8" max="8" width="6.33203125" customWidth="1"/>
    <col min="9" max="9" width="8.33203125" customWidth="1"/>
    <col min="10" max="12" width="7.33203125" customWidth="1"/>
    <col min="13" max="13" width="7.44140625" customWidth="1"/>
    <col min="14" max="14" width="9.33203125" customWidth="1"/>
    <col min="15" max="15" width="11.33203125" customWidth="1"/>
    <col min="16" max="16" width="9.33203125" customWidth="1"/>
  </cols>
  <sheetData>
    <row r="1" spans="1:16" x14ac:dyDescent="0.25">
      <c r="A1" s="1" t="s">
        <v>68</v>
      </c>
      <c r="B1" s="14">
        <v>3.5000000000000003E-2</v>
      </c>
      <c r="C1" s="14"/>
    </row>
    <row r="2" spans="1:16" x14ac:dyDescent="0.25">
      <c r="A2" t="s">
        <v>38</v>
      </c>
      <c r="B2" s="14">
        <v>1.7999999999999999E-2</v>
      </c>
      <c r="C2" s="14"/>
    </row>
    <row r="3" spans="1:16" x14ac:dyDescent="0.25">
      <c r="A3" t="s">
        <v>39</v>
      </c>
      <c r="B3" s="14">
        <v>1.2E-2</v>
      </c>
      <c r="C3" s="14"/>
    </row>
    <row r="4" spans="1:16" x14ac:dyDescent="0.25">
      <c r="A4" t="s">
        <v>40</v>
      </c>
      <c r="B4" s="14">
        <v>6.0000000000000001E-3</v>
      </c>
      <c r="C4" s="14"/>
    </row>
    <row r="5" spans="1:16" x14ac:dyDescent="0.25">
      <c r="A5" t="s">
        <v>41</v>
      </c>
      <c r="B5" s="14">
        <v>0</v>
      </c>
      <c r="C5" s="14"/>
    </row>
    <row r="6" spans="1:16" x14ac:dyDescent="0.25">
      <c r="A6" t="s">
        <v>42</v>
      </c>
      <c r="B6" s="14">
        <v>1.4999999999999999E-2</v>
      </c>
      <c r="C6" s="14"/>
    </row>
    <row r="7" spans="1:16" x14ac:dyDescent="0.25">
      <c r="A7" t="s">
        <v>43</v>
      </c>
      <c r="B7" s="14">
        <v>1.4999999999999999E-2</v>
      </c>
      <c r="C7" s="14"/>
    </row>
    <row r="8" spans="1:16" x14ac:dyDescent="0.25">
      <c r="A8" t="s">
        <v>44</v>
      </c>
      <c r="B8" s="14">
        <v>0</v>
      </c>
      <c r="C8" s="14"/>
    </row>
    <row r="9" spans="1:16" x14ac:dyDescent="0.25">
      <c r="A9" t="s">
        <v>45</v>
      </c>
      <c r="B9" s="14">
        <v>0.03</v>
      </c>
      <c r="C9" s="14"/>
    </row>
    <row r="10" spans="1:16" ht="15.6" x14ac:dyDescent="0.35">
      <c r="A10" t="s">
        <v>56</v>
      </c>
      <c r="B10" s="14">
        <v>0.03</v>
      </c>
      <c r="C10" s="14"/>
    </row>
    <row r="11" spans="1:16" x14ac:dyDescent="0.25">
      <c r="A11" t="s">
        <v>46</v>
      </c>
      <c r="B11" s="15">
        <f>(L16+G16)/F15</f>
        <v>0.11256396363636363</v>
      </c>
      <c r="C11" s="15"/>
    </row>
    <row r="12" spans="1:16" x14ac:dyDescent="0.25">
      <c r="A12" t="s">
        <v>47</v>
      </c>
      <c r="B12" s="15">
        <v>0.09</v>
      </c>
      <c r="C12" s="15"/>
      <c r="D12" s="3"/>
      <c r="E12" s="3"/>
      <c r="F12" s="3"/>
    </row>
    <row r="13" spans="1:16" x14ac:dyDescent="0.25">
      <c r="A13" t="s">
        <v>48</v>
      </c>
      <c r="B13" s="15">
        <v>-1.68167E-2</v>
      </c>
      <c r="C13" s="15"/>
      <c r="D13" s="3"/>
      <c r="E13" s="3"/>
      <c r="F13" s="3"/>
    </row>
    <row r="14" spans="1:16" ht="15.6" x14ac:dyDescent="0.35">
      <c r="A14" s="11" t="s">
        <v>27</v>
      </c>
      <c r="B14" s="11" t="s">
        <v>71</v>
      </c>
      <c r="C14" s="11" t="s">
        <v>63</v>
      </c>
      <c r="D14" s="11" t="s">
        <v>2</v>
      </c>
      <c r="E14" s="11" t="s">
        <v>48</v>
      </c>
      <c r="F14" s="11" t="s">
        <v>49</v>
      </c>
      <c r="G14" s="11" t="s">
        <v>50</v>
      </c>
      <c r="H14" s="11" t="s">
        <v>42</v>
      </c>
      <c r="I14" s="11" t="s">
        <v>51</v>
      </c>
      <c r="J14" s="11" t="s">
        <v>45</v>
      </c>
      <c r="K14" s="11" t="s">
        <v>64</v>
      </c>
      <c r="L14" s="11" t="s">
        <v>52</v>
      </c>
      <c r="M14" s="11" t="s">
        <v>53</v>
      </c>
      <c r="N14" s="11" t="s">
        <v>54</v>
      </c>
      <c r="O14" s="11"/>
      <c r="P14" s="11"/>
    </row>
    <row r="15" spans="1:16" x14ac:dyDescent="0.25">
      <c r="A15" s="12">
        <v>0</v>
      </c>
      <c r="B15" s="16">
        <f>iWoDat!$D$16*(-1)</f>
        <v>-240000</v>
      </c>
      <c r="C15" s="16"/>
      <c r="D15" s="16"/>
      <c r="E15" s="16"/>
      <c r="F15" s="16">
        <f>(iWoDat!$D$6+iWoDat!$D$5+iWoDat!$D$13)*iWoDat!$D$3</f>
        <v>880000</v>
      </c>
      <c r="G15" s="16"/>
      <c r="H15" s="16"/>
      <c r="I15" s="16"/>
      <c r="J15" s="16"/>
      <c r="K15" s="16">
        <f t="shared" ref="K15:K35" si="0">SUM(H15:J15)</f>
        <v>0</v>
      </c>
      <c r="L15" s="16">
        <v>0</v>
      </c>
      <c r="M15" s="17">
        <f t="shared" ref="M15:M35" si="1">1/(1+$B$1)^A15</f>
        <v>1</v>
      </c>
      <c r="N15" s="16">
        <f>F15*(-1)</f>
        <v>-880000</v>
      </c>
      <c r="O15" s="16"/>
      <c r="P15" s="3"/>
    </row>
    <row r="16" spans="1:16" x14ac:dyDescent="0.25">
      <c r="A16" s="12">
        <v>1</v>
      </c>
      <c r="B16" s="18"/>
      <c r="C16" s="16">
        <f>iWoDat!$D$33*iWoDat!$D$3*12</f>
        <v>52800</v>
      </c>
      <c r="D16" s="27">
        <f>iWoDat!$D$28</f>
        <v>72800</v>
      </c>
      <c r="E16" s="16">
        <f t="shared" ref="E16:E35" si="2">F16-F15</f>
        <v>-14798.695999999996</v>
      </c>
      <c r="F16" s="16">
        <f t="shared" ref="F16:F35" si="3">F15*(1+$B$13)</f>
        <v>865201.304</v>
      </c>
      <c r="G16" s="28">
        <f>iWoDat!$D$21</f>
        <v>39140.288</v>
      </c>
      <c r="H16" s="28">
        <f>iWoDat!$D$23</f>
        <v>3700</v>
      </c>
      <c r="I16" s="28">
        <f>iWoDat!$D$24</f>
        <v>7000</v>
      </c>
      <c r="J16" s="29">
        <f>$B$10*D16</f>
        <v>2184</v>
      </c>
      <c r="K16" s="25">
        <f t="shared" si="0"/>
        <v>12884</v>
      </c>
      <c r="L16" s="24">
        <f t="shared" ref="L16:L35" si="4">D16-SUM(H16:J16)</f>
        <v>59916</v>
      </c>
      <c r="M16" s="31">
        <f t="shared" si="1"/>
        <v>0.96618357487922713</v>
      </c>
      <c r="N16" s="24">
        <f t="shared" ref="N16:N34" si="5">L16*M16</f>
        <v>57889.855072463775</v>
      </c>
      <c r="O16" s="24"/>
      <c r="P16" s="3"/>
    </row>
    <row r="17" spans="1:17" x14ac:dyDescent="0.25">
      <c r="A17" s="12">
        <v>2</v>
      </c>
      <c r="B17" s="18"/>
      <c r="C17" s="16">
        <f>C16*(1+$B$2)</f>
        <v>53750.400000000001</v>
      </c>
      <c r="D17" s="27">
        <f>iWoDat!$D$28</f>
        <v>72800</v>
      </c>
      <c r="E17" s="16">
        <f t="shared" si="2"/>
        <v>-14549.830768976826</v>
      </c>
      <c r="F17" s="16">
        <f t="shared" si="3"/>
        <v>850651.47323102318</v>
      </c>
      <c r="G17" s="28">
        <f>iWoDat!$D$21</f>
        <v>39140.288</v>
      </c>
      <c r="H17" s="28">
        <f t="shared" ref="H17:H35" si="6">H16*(1+$B$6)</f>
        <v>3755.4999999999995</v>
      </c>
      <c r="I17" s="28">
        <f t="shared" ref="I17:I35" si="7">I16*(1+$B$7)</f>
        <v>7104.9999999999991</v>
      </c>
      <c r="J17" s="29">
        <f t="shared" ref="J17:J35" si="8">$B$9*D17</f>
        <v>2184</v>
      </c>
      <c r="K17" s="25">
        <f t="shared" si="0"/>
        <v>13044.499999999998</v>
      </c>
      <c r="L17" s="24">
        <f t="shared" si="4"/>
        <v>59755.5</v>
      </c>
      <c r="M17" s="31">
        <f t="shared" si="1"/>
        <v>0.93351070036640305</v>
      </c>
      <c r="N17" s="24">
        <f t="shared" si="5"/>
        <v>55782.398655744597</v>
      </c>
      <c r="O17" s="24"/>
      <c r="P17" s="3"/>
      <c r="Q17" s="3"/>
    </row>
    <row r="18" spans="1:17" x14ac:dyDescent="0.25">
      <c r="A18" s="12">
        <v>3</v>
      </c>
      <c r="B18" s="18"/>
      <c r="C18" s="16">
        <f>C17*(1+$B$2)</f>
        <v>54717.907200000001</v>
      </c>
      <c r="D18" s="27">
        <f>iWoDat!$D$28</f>
        <v>72800</v>
      </c>
      <c r="E18" s="16">
        <f t="shared" si="2"/>
        <v>-14305.150629884214</v>
      </c>
      <c r="F18" s="16">
        <f t="shared" si="3"/>
        <v>836346.32260113896</v>
      </c>
      <c r="G18" s="28">
        <f>iWoDat!$D$21</f>
        <v>39140.288</v>
      </c>
      <c r="H18" s="28">
        <f t="shared" si="6"/>
        <v>3811.8324999999991</v>
      </c>
      <c r="I18" s="28">
        <f t="shared" si="7"/>
        <v>7211.574999999998</v>
      </c>
      <c r="J18" s="29">
        <f t="shared" si="8"/>
        <v>2184</v>
      </c>
      <c r="K18" s="25">
        <f t="shared" si="0"/>
        <v>13207.407499999998</v>
      </c>
      <c r="L18" s="24">
        <f t="shared" si="4"/>
        <v>59592.592499999999</v>
      </c>
      <c r="M18" s="31">
        <f t="shared" si="1"/>
        <v>0.90194270566802237</v>
      </c>
      <c r="N18" s="24">
        <f t="shared" si="5"/>
        <v>53749.104117221897</v>
      </c>
      <c r="O18" s="24"/>
      <c r="P18" s="3"/>
    </row>
    <row r="19" spans="1:17" x14ac:dyDescent="0.25">
      <c r="A19" s="12">
        <v>4</v>
      </c>
      <c r="B19" s="18"/>
      <c r="C19" s="16">
        <f>C18*(1+$B$2)</f>
        <v>55702.8295296</v>
      </c>
      <c r="D19" s="27">
        <f>iWoDat!$D$28</f>
        <v>72800</v>
      </c>
      <c r="E19" s="16">
        <f t="shared" si="2"/>
        <v>-14064.58520328661</v>
      </c>
      <c r="F19" s="16">
        <f t="shared" si="3"/>
        <v>822281.73739785235</v>
      </c>
      <c r="G19" s="28">
        <f>iWoDat!$D$21</f>
        <v>39140.288</v>
      </c>
      <c r="H19" s="28">
        <f t="shared" si="6"/>
        <v>3869.0099874999987</v>
      </c>
      <c r="I19" s="28">
        <f t="shared" si="7"/>
        <v>7319.7486249999974</v>
      </c>
      <c r="J19" s="29">
        <f t="shared" si="8"/>
        <v>2184</v>
      </c>
      <c r="K19" s="25">
        <f t="shared" si="0"/>
        <v>13372.758612499996</v>
      </c>
      <c r="L19" s="24">
        <f t="shared" si="4"/>
        <v>59427.241387500006</v>
      </c>
      <c r="M19" s="31">
        <f t="shared" si="1"/>
        <v>0.87144222769857238</v>
      </c>
      <c r="N19" s="24">
        <f t="shared" si="5"/>
        <v>51787.407620703802</v>
      </c>
      <c r="O19" s="24"/>
      <c r="P19" s="3"/>
    </row>
    <row r="20" spans="1:17" x14ac:dyDescent="0.25">
      <c r="A20" s="12">
        <v>5</v>
      </c>
      <c r="B20" s="18"/>
      <c r="C20" s="19">
        <f>C19*(1+$B$2)</f>
        <v>56705.4804611328</v>
      </c>
      <c r="D20" s="27">
        <f>iWoDat!$D$28</f>
        <v>72800</v>
      </c>
      <c r="E20" s="16">
        <f t="shared" si="2"/>
        <v>-13828.065293298452</v>
      </c>
      <c r="F20" s="16">
        <f t="shared" si="3"/>
        <v>808453.6721045539</v>
      </c>
      <c r="G20" s="28">
        <f>iWoDat!$D$21</f>
        <v>39140.288</v>
      </c>
      <c r="H20" s="28">
        <f t="shared" si="6"/>
        <v>3927.0451373124984</v>
      </c>
      <c r="I20" s="28">
        <f t="shared" si="7"/>
        <v>7429.5448543749962</v>
      </c>
      <c r="J20" s="29">
        <f t="shared" si="8"/>
        <v>2184</v>
      </c>
      <c r="K20" s="25">
        <f t="shared" si="0"/>
        <v>13540.589991687495</v>
      </c>
      <c r="L20" s="24">
        <f t="shared" si="4"/>
        <v>59259.410008312509</v>
      </c>
      <c r="M20" s="31">
        <f t="shared" si="1"/>
        <v>0.84197316685852419</v>
      </c>
      <c r="N20" s="24">
        <f t="shared" si="5"/>
        <v>49894.83311086661</v>
      </c>
      <c r="O20" s="24"/>
      <c r="P20" s="3"/>
    </row>
    <row r="21" spans="1:17" x14ac:dyDescent="0.25">
      <c r="A21" s="12">
        <v>6</v>
      </c>
      <c r="B21" s="18"/>
      <c r="C21" s="16">
        <f>C20*(1+$B$3)</f>
        <v>57385.946226666398</v>
      </c>
      <c r="D21" s="27">
        <f>iWoDat!$D$28</f>
        <v>72800</v>
      </c>
      <c r="E21" s="16">
        <f t="shared" si="2"/>
        <v>-13595.522867680644</v>
      </c>
      <c r="F21" s="16">
        <f t="shared" si="3"/>
        <v>794858.14923687326</v>
      </c>
      <c r="G21" s="28">
        <f>iWoDat!$D$21</f>
        <v>39140.288</v>
      </c>
      <c r="H21" s="28">
        <f t="shared" si="6"/>
        <v>3985.9508143721855</v>
      </c>
      <c r="I21" s="28">
        <f t="shared" si="7"/>
        <v>7540.9880271906204</v>
      </c>
      <c r="J21" s="29">
        <f t="shared" si="8"/>
        <v>2184</v>
      </c>
      <c r="K21" s="25">
        <f t="shared" si="0"/>
        <v>13710.938841562805</v>
      </c>
      <c r="L21" s="24">
        <f t="shared" si="4"/>
        <v>59089.061158437195</v>
      </c>
      <c r="M21" s="31">
        <f t="shared" si="1"/>
        <v>0.81350064430775282</v>
      </c>
      <c r="N21" s="24">
        <f t="shared" si="5"/>
        <v>48068.989323928872</v>
      </c>
      <c r="O21" s="24"/>
      <c r="P21" s="3"/>
    </row>
    <row r="22" spans="1:17" x14ac:dyDescent="0.25">
      <c r="A22" s="12">
        <v>7</v>
      </c>
      <c r="B22" s="18"/>
      <c r="C22" s="16">
        <f>C21*(1+$B$3)</f>
        <v>58074.577581386395</v>
      </c>
      <c r="D22" s="27">
        <f>iWoDat!$D$28</f>
        <v>72800</v>
      </c>
      <c r="E22" s="16">
        <f t="shared" si="2"/>
        <v>-13366.891038271715</v>
      </c>
      <c r="F22" s="16">
        <f t="shared" si="3"/>
        <v>781491.25819860154</v>
      </c>
      <c r="G22" s="28">
        <f>iWoDat!$D$21</f>
        <v>39140.288</v>
      </c>
      <c r="H22" s="28">
        <f t="shared" si="6"/>
        <v>4045.7400765877678</v>
      </c>
      <c r="I22" s="28">
        <f t="shared" si="7"/>
        <v>7654.1028475984785</v>
      </c>
      <c r="J22" s="29">
        <f t="shared" si="8"/>
        <v>2184</v>
      </c>
      <c r="K22" s="25">
        <f t="shared" si="0"/>
        <v>13883.842924186247</v>
      </c>
      <c r="L22" s="24">
        <f t="shared" si="4"/>
        <v>58916.157075813753</v>
      </c>
      <c r="M22" s="31">
        <f t="shared" si="1"/>
        <v>0.78599096068381913</v>
      </c>
      <c r="N22" s="24">
        <f t="shared" si="5"/>
        <v>46307.566899817641</v>
      </c>
      <c r="O22" s="24"/>
      <c r="P22" s="3"/>
    </row>
    <row r="23" spans="1:17" x14ac:dyDescent="0.25">
      <c r="A23" s="12">
        <v>8</v>
      </c>
      <c r="B23" s="18"/>
      <c r="C23" s="16">
        <f>C22*(1+$B$3)</f>
        <v>58771.472512363034</v>
      </c>
      <c r="D23" s="27">
        <f>iWoDat!$D$28</f>
        <v>72800</v>
      </c>
      <c r="E23" s="16">
        <f t="shared" si="2"/>
        <v>-13142.104041748447</v>
      </c>
      <c r="F23" s="16">
        <f t="shared" si="3"/>
        <v>768349.1541568531</v>
      </c>
      <c r="G23" s="28">
        <f>iWoDat!$D$21</f>
        <v>39140.288</v>
      </c>
      <c r="H23" s="28">
        <f t="shared" si="6"/>
        <v>4106.4261777365837</v>
      </c>
      <c r="I23" s="28">
        <f t="shared" si="7"/>
        <v>7768.914390312455</v>
      </c>
      <c r="J23" s="29">
        <f t="shared" si="8"/>
        <v>2184</v>
      </c>
      <c r="K23" s="25">
        <f t="shared" si="0"/>
        <v>14059.34056804904</v>
      </c>
      <c r="L23" s="24">
        <f t="shared" si="4"/>
        <v>58740.65943195096</v>
      </c>
      <c r="M23" s="31">
        <f t="shared" si="1"/>
        <v>0.75941155621625056</v>
      </c>
      <c r="N23" s="24">
        <f t="shared" si="5"/>
        <v>44608.335592386655</v>
      </c>
      <c r="O23" s="24"/>
      <c r="P23" s="3"/>
    </row>
    <row r="24" spans="1:17" x14ac:dyDescent="0.25">
      <c r="A24" s="12">
        <v>9</v>
      </c>
      <c r="B24" s="18"/>
      <c r="C24" s="16">
        <f>C23*(1+$B$3)</f>
        <v>59476.73018251139</v>
      </c>
      <c r="D24" s="27">
        <f>iWoDat!$D$28</f>
        <v>72800</v>
      </c>
      <c r="E24" s="16">
        <f t="shared" si="2"/>
        <v>-12921.097220709547</v>
      </c>
      <c r="F24" s="16">
        <f t="shared" si="3"/>
        <v>755428.05693614355</v>
      </c>
      <c r="G24" s="28">
        <f>iWoDat!$D$21</f>
        <v>39140.288</v>
      </c>
      <c r="H24" s="28">
        <f t="shared" si="6"/>
        <v>4168.0225704026316</v>
      </c>
      <c r="I24" s="28">
        <f t="shared" si="7"/>
        <v>7885.4481061671413</v>
      </c>
      <c r="J24" s="29">
        <f t="shared" si="8"/>
        <v>2184</v>
      </c>
      <c r="K24" s="25">
        <f t="shared" si="0"/>
        <v>14237.470676569774</v>
      </c>
      <c r="L24" s="24">
        <f t="shared" si="4"/>
        <v>58562.529323430223</v>
      </c>
      <c r="M24" s="31">
        <f t="shared" si="1"/>
        <v>0.73373097218961414</v>
      </c>
      <c r="N24" s="24">
        <f t="shared" si="5"/>
        <v>42969.141574363246</v>
      </c>
      <c r="O24" s="24"/>
      <c r="P24" s="3"/>
    </row>
    <row r="25" spans="1:17" x14ac:dyDescent="0.25">
      <c r="A25" s="12">
        <v>10</v>
      </c>
      <c r="B25" s="18"/>
      <c r="C25" s="19">
        <f>C24*(1+$B$3)</f>
        <v>60190.45094470153</v>
      </c>
      <c r="D25" s="27">
        <f>iWoDat!$D$28</f>
        <v>72800</v>
      </c>
      <c r="E25" s="16">
        <f t="shared" si="2"/>
        <v>-12703.807005078066</v>
      </c>
      <c r="F25" s="16">
        <f t="shared" si="3"/>
        <v>742724.24993106548</v>
      </c>
      <c r="G25" s="28">
        <f>iWoDat!$D$21</f>
        <v>39140.288</v>
      </c>
      <c r="H25" s="28">
        <f t="shared" si="6"/>
        <v>4230.5429089586705</v>
      </c>
      <c r="I25" s="28">
        <f t="shared" si="7"/>
        <v>8003.7298277596474</v>
      </c>
      <c r="J25" s="29">
        <f t="shared" si="8"/>
        <v>2184</v>
      </c>
      <c r="K25" s="25">
        <f t="shared" si="0"/>
        <v>14418.272736718318</v>
      </c>
      <c r="L25" s="24">
        <f t="shared" si="4"/>
        <v>58381.727263281682</v>
      </c>
      <c r="M25" s="31">
        <f t="shared" si="1"/>
        <v>0.70891881370977217</v>
      </c>
      <c r="N25" s="24">
        <f t="shared" si="5"/>
        <v>41387.904833813111</v>
      </c>
      <c r="O25" s="24"/>
      <c r="P25" s="3"/>
    </row>
    <row r="26" spans="1:17" x14ac:dyDescent="0.25">
      <c r="A26" s="12">
        <v>11</v>
      </c>
      <c r="B26" s="18"/>
      <c r="C26" s="16">
        <f>C25*(1+$B$4)</f>
        <v>60551.593650369738</v>
      </c>
      <c r="D26" s="27">
        <f>iWoDat!$D$28</f>
        <v>72800</v>
      </c>
      <c r="E26" s="16">
        <f t="shared" si="2"/>
        <v>-12490.170893815812</v>
      </c>
      <c r="F26" s="16">
        <f t="shared" si="3"/>
        <v>730234.07903724967</v>
      </c>
      <c r="G26" s="28">
        <f>iWoDat!$D$21</f>
        <v>39140.288</v>
      </c>
      <c r="H26" s="28">
        <f t="shared" si="6"/>
        <v>4294.0010525930502</v>
      </c>
      <c r="I26" s="28">
        <f t="shared" si="7"/>
        <v>8123.7857751760412</v>
      </c>
      <c r="J26" s="29">
        <f t="shared" si="8"/>
        <v>2184</v>
      </c>
      <c r="K26" s="25">
        <f t="shared" si="0"/>
        <v>14601.78682776909</v>
      </c>
      <c r="L26" s="24">
        <f t="shared" si="4"/>
        <v>58198.213172230913</v>
      </c>
      <c r="M26" s="31">
        <f t="shared" si="1"/>
        <v>0.68494571372924851</v>
      </c>
      <c r="N26" s="24">
        <f t="shared" si="5"/>
        <v>39862.616659020656</v>
      </c>
      <c r="O26" s="24"/>
      <c r="P26" s="3"/>
    </row>
    <row r="27" spans="1:17" x14ac:dyDescent="0.25">
      <c r="A27" s="12">
        <v>12</v>
      </c>
      <c r="B27" s="18"/>
      <c r="C27" s="16">
        <f>C26*(1+$B$4)</f>
        <v>60914.903212271958</v>
      </c>
      <c r="D27" s="27">
        <f>iWoDat!$D$28</f>
        <v>72800</v>
      </c>
      <c r="E27" s="16">
        <f t="shared" si="2"/>
        <v>-12280.127436945681</v>
      </c>
      <c r="F27" s="16">
        <f t="shared" si="3"/>
        <v>717953.95160030399</v>
      </c>
      <c r="G27" s="28">
        <f>iWoDat!$D$21</f>
        <v>39140.288</v>
      </c>
      <c r="H27" s="28">
        <f t="shared" si="6"/>
        <v>4358.4110683819454</v>
      </c>
      <c r="I27" s="28">
        <f t="shared" si="7"/>
        <v>8245.642561803681</v>
      </c>
      <c r="J27" s="29">
        <f t="shared" si="8"/>
        <v>2184</v>
      </c>
      <c r="K27" s="25">
        <f t="shared" si="0"/>
        <v>14788.053630185626</v>
      </c>
      <c r="L27" s="24">
        <f t="shared" si="4"/>
        <v>58011.946369814374</v>
      </c>
      <c r="M27" s="31">
        <f t="shared" si="1"/>
        <v>0.66178329828912896</v>
      </c>
      <c r="N27" s="24">
        <f t="shared" si="5"/>
        <v>38391.337208787816</v>
      </c>
      <c r="O27" s="24"/>
      <c r="P27" s="3"/>
    </row>
    <row r="28" spans="1:17" x14ac:dyDescent="0.25">
      <c r="A28" s="12">
        <v>13</v>
      </c>
      <c r="B28" s="18"/>
      <c r="C28" s="16">
        <f>C27*(1+$B$4)</f>
        <v>61280.39263154559</v>
      </c>
      <c r="D28" s="27">
        <f>iWoDat!$D$28</f>
        <v>72800</v>
      </c>
      <c r="E28" s="16">
        <f t="shared" si="2"/>
        <v>-12073.616217876901</v>
      </c>
      <c r="F28" s="16">
        <f t="shared" si="3"/>
        <v>705880.33538242709</v>
      </c>
      <c r="G28" s="28">
        <f>iWoDat!$D$21</f>
        <v>39140.288</v>
      </c>
      <c r="H28" s="28">
        <f t="shared" si="6"/>
        <v>4423.7872344076741</v>
      </c>
      <c r="I28" s="28">
        <f t="shared" si="7"/>
        <v>8369.3272002307349</v>
      </c>
      <c r="J28" s="29">
        <f t="shared" si="8"/>
        <v>2184</v>
      </c>
      <c r="K28" s="25">
        <f t="shared" si="0"/>
        <v>14977.11443463841</v>
      </c>
      <c r="L28" s="24">
        <f t="shared" si="4"/>
        <v>57822.88556536159</v>
      </c>
      <c r="M28" s="31">
        <f t="shared" si="1"/>
        <v>0.63940415293635666</v>
      </c>
      <c r="N28" s="24">
        <f t="shared" si="5"/>
        <v>36972.193165255914</v>
      </c>
      <c r="O28" s="24"/>
      <c r="P28" s="3"/>
    </row>
    <row r="29" spans="1:17" x14ac:dyDescent="0.25">
      <c r="A29" s="12">
        <v>14</v>
      </c>
      <c r="B29" s="18"/>
      <c r="C29" s="16">
        <f>C28*(1+$B$4)</f>
        <v>61648.074987334861</v>
      </c>
      <c r="D29" s="27">
        <f>iWoDat!$D$28</f>
        <v>72800</v>
      </c>
      <c r="E29" s="16">
        <f t="shared" si="2"/>
        <v>-11870.577836025623</v>
      </c>
      <c r="F29" s="16">
        <f t="shared" si="3"/>
        <v>694009.75754640147</v>
      </c>
      <c r="G29" s="28">
        <f>iWoDat!$D$21</f>
        <v>39140.288</v>
      </c>
      <c r="H29" s="28">
        <f t="shared" si="6"/>
        <v>4490.1440429237891</v>
      </c>
      <c r="I29" s="28">
        <f t="shared" si="7"/>
        <v>8494.8671082341953</v>
      </c>
      <c r="J29" s="29">
        <f t="shared" si="8"/>
        <v>2184</v>
      </c>
      <c r="K29" s="25">
        <f t="shared" si="0"/>
        <v>15169.011151157985</v>
      </c>
      <c r="L29" s="24">
        <f t="shared" si="4"/>
        <v>57630.988848842011</v>
      </c>
      <c r="M29" s="31">
        <f t="shared" si="1"/>
        <v>0.61778179027667302</v>
      </c>
      <c r="N29" s="24">
        <f t="shared" si="5"/>
        <v>35603.375466452599</v>
      </c>
      <c r="O29" s="24"/>
      <c r="P29" s="3"/>
    </row>
    <row r="30" spans="1:17" x14ac:dyDescent="0.25">
      <c r="A30" s="12">
        <v>15</v>
      </c>
      <c r="B30" s="18"/>
      <c r="C30" s="19">
        <f>C29*(1+$B$4)</f>
        <v>62017.96343725887</v>
      </c>
      <c r="D30" s="27">
        <f>iWoDat!$D$28</f>
        <v>72800</v>
      </c>
      <c r="E30" s="16">
        <f t="shared" si="2"/>
        <v>-11670.953889730619</v>
      </c>
      <c r="F30" s="16">
        <f t="shared" si="3"/>
        <v>682338.80365667085</v>
      </c>
      <c r="G30" s="28">
        <f>iWoDat!$D$21</f>
        <v>39140.288</v>
      </c>
      <c r="H30" s="28">
        <f t="shared" si="6"/>
        <v>4557.4962035676454</v>
      </c>
      <c r="I30" s="28">
        <f t="shared" si="7"/>
        <v>8622.2901148577075</v>
      </c>
      <c r="J30" s="29">
        <f t="shared" si="8"/>
        <v>2184</v>
      </c>
      <c r="K30" s="25">
        <f t="shared" si="0"/>
        <v>15363.786318425353</v>
      </c>
      <c r="L30" s="24">
        <f t="shared" si="4"/>
        <v>57436.213681574649</v>
      </c>
      <c r="M30" s="31">
        <f t="shared" si="1"/>
        <v>0.59689061862480497</v>
      </c>
      <c r="N30" s="24">
        <f t="shared" si="5"/>
        <v>34283.13711586158</v>
      </c>
      <c r="O30" s="24"/>
      <c r="P30" s="3"/>
    </row>
    <row r="31" spans="1:17" x14ac:dyDescent="0.25">
      <c r="A31" s="12">
        <v>16</v>
      </c>
      <c r="B31" s="18"/>
      <c r="C31" s="16">
        <f>C30*(1+$B$5)</f>
        <v>62017.96343725887</v>
      </c>
      <c r="D31" s="27">
        <f>iWoDat!$D$28</f>
        <v>72800</v>
      </c>
      <c r="E31" s="16">
        <f t="shared" si="2"/>
        <v>-11474.68695945316</v>
      </c>
      <c r="F31" s="16">
        <f t="shared" si="3"/>
        <v>670864.11669721769</v>
      </c>
      <c r="G31" s="28">
        <f>iWoDat!$D$21</f>
        <v>39140.288</v>
      </c>
      <c r="H31" s="28">
        <f t="shared" si="6"/>
        <v>4625.85864662116</v>
      </c>
      <c r="I31" s="28">
        <f t="shared" si="7"/>
        <v>8751.6244665805716</v>
      </c>
      <c r="J31" s="29">
        <f t="shared" si="8"/>
        <v>2184</v>
      </c>
      <c r="K31" s="25">
        <f t="shared" si="0"/>
        <v>15561.483113201732</v>
      </c>
      <c r="L31" s="24">
        <f t="shared" si="4"/>
        <v>57238.516886798272</v>
      </c>
      <c r="M31" s="31">
        <f t="shared" si="1"/>
        <v>0.57670591171478747</v>
      </c>
      <c r="N31" s="24">
        <f t="shared" si="5"/>
        <v>33009.791066403253</v>
      </c>
      <c r="O31" s="24"/>
      <c r="P31" s="3"/>
    </row>
    <row r="32" spans="1:17" x14ac:dyDescent="0.25">
      <c r="A32" s="12">
        <v>17</v>
      </c>
      <c r="B32" s="18"/>
      <c r="C32" s="16">
        <f>C31*(1+$B$5)</f>
        <v>62017.96343725887</v>
      </c>
      <c r="D32" s="27">
        <f>iWoDat!$D$28</f>
        <v>72800</v>
      </c>
      <c r="E32" s="16">
        <f t="shared" si="2"/>
        <v>-11281.720591262099</v>
      </c>
      <c r="F32" s="16">
        <f t="shared" si="3"/>
        <v>659582.39610595559</v>
      </c>
      <c r="G32" s="28">
        <f>iWoDat!$D$21</f>
        <v>39140.288</v>
      </c>
      <c r="H32" s="28">
        <f t="shared" si="6"/>
        <v>4695.2465263204767</v>
      </c>
      <c r="I32" s="28">
        <f t="shared" si="7"/>
        <v>8882.8988335792801</v>
      </c>
      <c r="J32" s="29">
        <f t="shared" si="8"/>
        <v>2184</v>
      </c>
      <c r="K32" s="25">
        <f t="shared" si="0"/>
        <v>15762.145359899758</v>
      </c>
      <c r="L32" s="24">
        <f t="shared" si="4"/>
        <v>57037.854640100239</v>
      </c>
      <c r="M32" s="31">
        <f t="shared" si="1"/>
        <v>0.55720377943457733</v>
      </c>
      <c r="N32" s="24">
        <f t="shared" si="5"/>
        <v>31781.708176303895</v>
      </c>
      <c r="O32" s="24"/>
      <c r="P32" s="3"/>
    </row>
    <row r="33" spans="1:16" x14ac:dyDescent="0.25">
      <c r="A33" s="12">
        <v>18</v>
      </c>
      <c r="B33" s="18"/>
      <c r="C33" s="16">
        <f>C32*(1+$B$5)</f>
        <v>62017.96343725887</v>
      </c>
      <c r="D33" s="27">
        <f>iWoDat!$D$28</f>
        <v>72800</v>
      </c>
      <c r="E33" s="16">
        <f t="shared" si="2"/>
        <v>-11091.999280594988</v>
      </c>
      <c r="F33" s="16">
        <f t="shared" si="3"/>
        <v>648490.3968253606</v>
      </c>
      <c r="G33" s="28">
        <f>iWoDat!$D$21</f>
        <v>39140.288</v>
      </c>
      <c r="H33" s="28">
        <f t="shared" si="6"/>
        <v>4765.6752242152834</v>
      </c>
      <c r="I33" s="28">
        <f t="shared" si="7"/>
        <v>9016.142316082969</v>
      </c>
      <c r="J33" s="29">
        <f t="shared" si="8"/>
        <v>2184</v>
      </c>
      <c r="K33" s="25">
        <f t="shared" si="0"/>
        <v>15965.817540298252</v>
      </c>
      <c r="L33" s="24">
        <f t="shared" si="4"/>
        <v>56834.182459701748</v>
      </c>
      <c r="M33" s="31">
        <f t="shared" si="1"/>
        <v>0.53836113955031628</v>
      </c>
      <c r="N33" s="24">
        <f t="shared" si="5"/>
        <v>30597.31523441563</v>
      </c>
      <c r="O33" s="24"/>
      <c r="P33" s="3"/>
    </row>
    <row r="34" spans="1:16" x14ac:dyDescent="0.25">
      <c r="A34" s="12">
        <v>19</v>
      </c>
      <c r="B34" s="18"/>
      <c r="C34" s="16">
        <f>C33*(1+$B$5)</f>
        <v>62017.96343725887</v>
      </c>
      <c r="D34" s="27">
        <f>iWoDat!$D$28</f>
        <v>72800</v>
      </c>
      <c r="E34" s="16">
        <f t="shared" si="2"/>
        <v>-10905.468456293107</v>
      </c>
      <c r="F34" s="16">
        <f t="shared" si="3"/>
        <v>637584.92836906749</v>
      </c>
      <c r="G34" s="28">
        <f>iWoDat!$D$21</f>
        <v>39140.288</v>
      </c>
      <c r="H34" s="28">
        <f t="shared" si="6"/>
        <v>4837.1603525785122</v>
      </c>
      <c r="I34" s="28">
        <f t="shared" si="7"/>
        <v>9151.3844508242128</v>
      </c>
      <c r="J34" s="29">
        <f t="shared" si="8"/>
        <v>2184</v>
      </c>
      <c r="K34" s="25">
        <f t="shared" si="0"/>
        <v>16172.544803402725</v>
      </c>
      <c r="L34" s="24">
        <f t="shared" si="4"/>
        <v>56627.455196597279</v>
      </c>
      <c r="M34" s="31">
        <f t="shared" si="1"/>
        <v>0.52015569038677911</v>
      </c>
      <c r="N34" s="24">
        <f t="shared" si="5"/>
        <v>29455.093052632459</v>
      </c>
      <c r="O34" s="24"/>
      <c r="P34" s="3"/>
    </row>
    <row r="35" spans="1:16" x14ac:dyDescent="0.25">
      <c r="A35" s="12">
        <v>20</v>
      </c>
      <c r="B35" s="23">
        <f>'iWoTab EK'!$B$35</f>
        <v>626862.52249495825</v>
      </c>
      <c r="C35" s="16">
        <f>C34*(1+$B$5)</f>
        <v>62017.96343725887</v>
      </c>
      <c r="D35" s="27">
        <f>iWoDat!$D$28</f>
        <v>72800</v>
      </c>
      <c r="E35" s="16">
        <f t="shared" si="2"/>
        <v>-10722.074464904144</v>
      </c>
      <c r="F35" s="23">
        <f t="shared" si="3"/>
        <v>626862.85390416335</v>
      </c>
      <c r="G35" s="28">
        <f>iWoDat!$D$21</f>
        <v>39140.288</v>
      </c>
      <c r="H35" s="28">
        <f t="shared" si="6"/>
        <v>4909.717757867189</v>
      </c>
      <c r="I35" s="30">
        <f t="shared" si="7"/>
        <v>9288.6552175865745</v>
      </c>
      <c r="J35" s="29">
        <f t="shared" si="8"/>
        <v>2184</v>
      </c>
      <c r="K35" s="25">
        <f t="shared" si="0"/>
        <v>16382.372975453764</v>
      </c>
      <c r="L35" s="24">
        <f t="shared" si="4"/>
        <v>56417.627024546236</v>
      </c>
      <c r="M35" s="31">
        <f t="shared" si="1"/>
        <v>0.50256588443167061</v>
      </c>
      <c r="N35" s="32">
        <f>L35*M35+B35*M35</f>
        <v>343393.29265787388</v>
      </c>
      <c r="O35" s="32"/>
      <c r="P35" s="3"/>
    </row>
    <row r="36" spans="1:16" x14ac:dyDescent="0.25">
      <c r="H36" s="20"/>
      <c r="I36" s="21"/>
      <c r="J36" s="20"/>
      <c r="K36" s="20"/>
      <c r="L36" s="26"/>
      <c r="M36" s="33"/>
      <c r="N36" s="34">
        <f>SUM(N15:N35)</f>
        <v>265795.39660431782</v>
      </c>
      <c r="O36" s="35"/>
    </row>
    <row r="38" spans="1:16" x14ac:dyDescent="0.25">
      <c r="B38" s="22"/>
      <c r="C38" s="22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40" zoomScale="125" workbookViewId="0">
      <selection activeCell="J41" sqref="J41"/>
    </sheetView>
  </sheetViews>
  <sheetFormatPr baseColWidth="10" defaultRowHeight="13.2" x14ac:dyDescent="0.25"/>
  <cols>
    <col min="1" max="1" width="7.88671875" bestFit="1" customWidth="1"/>
    <col min="2" max="2" width="10.109375" customWidth="1"/>
    <col min="3" max="3" width="9.6640625" customWidth="1"/>
    <col min="4" max="4" width="6.6640625" customWidth="1"/>
    <col min="5" max="5" width="7.44140625" customWidth="1"/>
    <col min="6" max="6" width="10.33203125" customWidth="1"/>
    <col min="7" max="7" width="7.44140625" customWidth="1"/>
    <col min="8" max="8" width="6.33203125" customWidth="1"/>
    <col min="9" max="9" width="8.33203125" customWidth="1"/>
    <col min="10" max="12" width="7.33203125" customWidth="1"/>
    <col min="13" max="13" width="7.44140625" customWidth="1"/>
    <col min="14" max="14" width="9.33203125" customWidth="1"/>
    <col min="15" max="15" width="11.33203125" customWidth="1"/>
    <col min="16" max="16" width="8.33203125" customWidth="1"/>
  </cols>
  <sheetData>
    <row r="1" spans="1:16" x14ac:dyDescent="0.25">
      <c r="A1" s="1" t="s">
        <v>68</v>
      </c>
      <c r="B1" s="14">
        <v>3.5000000000000003E-2</v>
      </c>
      <c r="C1" s="14"/>
    </row>
    <row r="2" spans="1:16" x14ac:dyDescent="0.25">
      <c r="A2" t="s">
        <v>38</v>
      </c>
      <c r="B2" s="14">
        <v>1.7999999999999999E-2</v>
      </c>
      <c r="C2" s="14"/>
    </row>
    <row r="3" spans="1:16" x14ac:dyDescent="0.25">
      <c r="A3" t="s">
        <v>39</v>
      </c>
      <c r="B3" s="14">
        <v>1.2E-2</v>
      </c>
      <c r="C3" s="14"/>
    </row>
    <row r="4" spans="1:16" x14ac:dyDescent="0.25">
      <c r="A4" t="s">
        <v>40</v>
      </c>
      <c r="B4" s="14">
        <v>6.0000000000000001E-3</v>
      </c>
      <c r="C4" s="14"/>
    </row>
    <row r="5" spans="1:16" x14ac:dyDescent="0.25">
      <c r="A5" t="s">
        <v>41</v>
      </c>
      <c r="B5" s="14">
        <v>0</v>
      </c>
      <c r="C5" s="14"/>
    </row>
    <row r="6" spans="1:16" x14ac:dyDescent="0.25">
      <c r="A6" t="s">
        <v>42</v>
      </c>
      <c r="B6" s="14">
        <v>1.4999999999999999E-2</v>
      </c>
      <c r="C6" s="14"/>
    </row>
    <row r="7" spans="1:16" x14ac:dyDescent="0.25">
      <c r="A7" t="s">
        <v>43</v>
      </c>
      <c r="B7" s="14">
        <v>1.4999999999999999E-2</v>
      </c>
      <c r="C7" s="14"/>
    </row>
    <row r="8" spans="1:16" x14ac:dyDescent="0.25">
      <c r="A8" t="s">
        <v>44</v>
      </c>
      <c r="B8" s="14">
        <v>0</v>
      </c>
      <c r="C8" s="14"/>
    </row>
    <row r="9" spans="1:16" x14ac:dyDescent="0.25">
      <c r="A9" t="s">
        <v>45</v>
      </c>
      <c r="B9" s="14">
        <v>0.03</v>
      </c>
      <c r="C9" s="14"/>
    </row>
    <row r="10" spans="1:16" ht="15.6" x14ac:dyDescent="0.35">
      <c r="A10" t="s">
        <v>56</v>
      </c>
      <c r="B10" s="14">
        <v>0.03</v>
      </c>
      <c r="C10" s="14"/>
    </row>
    <row r="11" spans="1:16" x14ac:dyDescent="0.25">
      <c r="A11" t="s">
        <v>46</v>
      </c>
      <c r="B11" s="15">
        <f>(L16+G16)/F15</f>
        <v>6.8086363636363639E-2</v>
      </c>
      <c r="C11" s="15"/>
    </row>
    <row r="12" spans="1:16" x14ac:dyDescent="0.25">
      <c r="A12" t="s">
        <v>47</v>
      </c>
      <c r="B12" s="15">
        <v>0.09</v>
      </c>
      <c r="C12" s="15"/>
      <c r="D12" s="3"/>
      <c r="E12" s="3"/>
      <c r="F12" s="3"/>
    </row>
    <row r="13" spans="1:16" x14ac:dyDescent="0.25">
      <c r="A13" t="s">
        <v>48</v>
      </c>
      <c r="B13" s="15">
        <v>-1.68167E-2</v>
      </c>
      <c r="C13" s="15"/>
      <c r="D13" s="3"/>
      <c r="E13" s="3"/>
      <c r="F13" s="3"/>
    </row>
    <row r="14" spans="1:16" ht="15.6" x14ac:dyDescent="0.35">
      <c r="A14" s="11" t="s">
        <v>27</v>
      </c>
      <c r="B14" s="11" t="s">
        <v>71</v>
      </c>
      <c r="C14" s="11" t="s">
        <v>63</v>
      </c>
      <c r="D14" s="11" t="s">
        <v>2</v>
      </c>
      <c r="E14" s="11" t="s">
        <v>48</v>
      </c>
      <c r="F14" s="11" t="s">
        <v>49</v>
      </c>
      <c r="G14" s="11" t="s">
        <v>50</v>
      </c>
      <c r="H14" s="11" t="s">
        <v>42</v>
      </c>
      <c r="I14" s="11" t="s">
        <v>51</v>
      </c>
      <c r="J14" s="11" t="s">
        <v>45</v>
      </c>
      <c r="K14" s="11" t="s">
        <v>64</v>
      </c>
      <c r="L14" s="11" t="s">
        <v>52</v>
      </c>
      <c r="M14" s="11" t="s">
        <v>53</v>
      </c>
      <c r="N14" s="11" t="s">
        <v>54</v>
      </c>
      <c r="O14" s="11" t="s">
        <v>37</v>
      </c>
      <c r="P14" s="11" t="s">
        <v>55</v>
      </c>
    </row>
    <row r="15" spans="1:16" x14ac:dyDescent="0.25">
      <c r="A15" s="12">
        <v>0</v>
      </c>
      <c r="B15" s="16">
        <f>iWoDat!$D$16*(-1)</f>
        <v>-240000</v>
      </c>
      <c r="C15" s="16"/>
      <c r="D15" s="16"/>
      <c r="E15" s="16"/>
      <c r="F15" s="16">
        <f>(iWoDat!$D$6+iWoDat!$D$5+iWoDat!$D$13)*iWoDat!$D$3</f>
        <v>880000</v>
      </c>
      <c r="G15" s="16"/>
      <c r="H15" s="16"/>
      <c r="I15" s="16"/>
      <c r="J15" s="16"/>
      <c r="K15" s="16">
        <f t="shared" ref="K15:K35" si="0">SUM(H15:J15)</f>
        <v>0</v>
      </c>
      <c r="L15" s="16">
        <v>0</v>
      </c>
      <c r="M15" s="17">
        <f t="shared" ref="M15:M35" si="1">1/(1+$B$1)^A15</f>
        <v>1</v>
      </c>
      <c r="N15" s="16">
        <f>B15*M15</f>
        <v>-240000</v>
      </c>
      <c r="O15" s="16">
        <f>B15</f>
        <v>-240000</v>
      </c>
      <c r="P15" s="3">
        <f t="shared" ref="P15:P35" si="2">O15+G15</f>
        <v>-240000</v>
      </c>
    </row>
    <row r="16" spans="1:16" x14ac:dyDescent="0.25">
      <c r="A16" s="12">
        <v>1</v>
      </c>
      <c r="B16" s="18"/>
      <c r="C16" s="16">
        <f>iWoDat!$D$33*iWoDat!$D$3*12</f>
        <v>52800</v>
      </c>
      <c r="D16" s="27">
        <f>iWoDat!$D$28</f>
        <v>72800</v>
      </c>
      <c r="E16" s="16">
        <f t="shared" ref="E16:E35" si="3">F16-F15</f>
        <v>-14798.695999999996</v>
      </c>
      <c r="F16" s="16">
        <f t="shared" ref="F16:F35" si="4">F15*(1+$B$13)</f>
        <v>865201.304</v>
      </c>
      <c r="G16" s="28">
        <f>iWoDat!$D$21</f>
        <v>39140.288</v>
      </c>
      <c r="H16" s="28">
        <f>iWoDat!$D$23</f>
        <v>3700</v>
      </c>
      <c r="I16" s="28">
        <f>iWoDat!$D$24</f>
        <v>7000</v>
      </c>
      <c r="J16" s="29">
        <f>$B$10*D16</f>
        <v>2184</v>
      </c>
      <c r="K16" s="25">
        <f t="shared" si="0"/>
        <v>12884</v>
      </c>
      <c r="L16" s="24">
        <f t="shared" ref="L16:L35" si="5">D16-SUM(G16:J16)</f>
        <v>20775.712</v>
      </c>
      <c r="M16" s="31">
        <f t="shared" si="1"/>
        <v>0.96618357487922713</v>
      </c>
      <c r="N16" s="24">
        <f t="shared" ref="N16:N34" si="6">L16*M16</f>
        <v>20073.151690821258</v>
      </c>
      <c r="O16" s="24">
        <f t="shared" ref="O16:O34" si="7">L16</f>
        <v>20775.712</v>
      </c>
      <c r="P16" s="3">
        <f t="shared" si="2"/>
        <v>59916</v>
      </c>
    </row>
    <row r="17" spans="1:17" x14ac:dyDescent="0.25">
      <c r="A17" s="12">
        <v>2</v>
      </c>
      <c r="B17" s="18"/>
      <c r="C17" s="16">
        <f>C16*(1+$B$2)</f>
        <v>53750.400000000001</v>
      </c>
      <c r="D17" s="27">
        <f>iWoDat!$D$28</f>
        <v>72800</v>
      </c>
      <c r="E17" s="16">
        <f t="shared" si="3"/>
        <v>-14549.830768976826</v>
      </c>
      <c r="F17" s="16">
        <f t="shared" si="4"/>
        <v>850651.47323102318</v>
      </c>
      <c r="G17" s="28">
        <f>iWoDat!$D$21</f>
        <v>39140.288</v>
      </c>
      <c r="H17" s="28">
        <f t="shared" ref="H17:H35" si="8">H16*(1+$B$6)</f>
        <v>3755.4999999999995</v>
      </c>
      <c r="I17" s="28">
        <f t="shared" ref="I17:I35" si="9">I16*(1+$B$7)</f>
        <v>7104.9999999999991</v>
      </c>
      <c r="J17" s="29">
        <f t="shared" ref="J17:J35" si="10">$B$9*D17</f>
        <v>2184</v>
      </c>
      <c r="K17" s="25">
        <f t="shared" si="0"/>
        <v>13044.499999999998</v>
      </c>
      <c r="L17" s="24">
        <f t="shared" si="5"/>
        <v>20615.212</v>
      </c>
      <c r="M17" s="31">
        <f t="shared" si="1"/>
        <v>0.93351070036640305</v>
      </c>
      <c r="N17" s="24">
        <f t="shared" si="6"/>
        <v>19244.520992321875</v>
      </c>
      <c r="O17" s="24">
        <f t="shared" si="7"/>
        <v>20615.212</v>
      </c>
      <c r="P17" s="3">
        <f t="shared" si="2"/>
        <v>59755.5</v>
      </c>
      <c r="Q17" s="3"/>
    </row>
    <row r="18" spans="1:17" x14ac:dyDescent="0.25">
      <c r="A18" s="12">
        <v>3</v>
      </c>
      <c r="B18" s="18"/>
      <c r="C18" s="16">
        <f>C17*(1+$B$2)</f>
        <v>54717.907200000001</v>
      </c>
      <c r="D18" s="27">
        <f>iWoDat!$D$28</f>
        <v>72800</v>
      </c>
      <c r="E18" s="16">
        <f t="shared" si="3"/>
        <v>-14305.150629884214</v>
      </c>
      <c r="F18" s="16">
        <f t="shared" si="4"/>
        <v>836346.32260113896</v>
      </c>
      <c r="G18" s="28">
        <f>iWoDat!$D$21</f>
        <v>39140.288</v>
      </c>
      <c r="H18" s="28">
        <f t="shared" si="8"/>
        <v>3811.8324999999991</v>
      </c>
      <c r="I18" s="28">
        <f t="shared" si="9"/>
        <v>7211.574999999998</v>
      </c>
      <c r="J18" s="29">
        <f t="shared" si="10"/>
        <v>2184</v>
      </c>
      <c r="K18" s="25">
        <f t="shared" si="0"/>
        <v>13207.407499999998</v>
      </c>
      <c r="L18" s="24">
        <f t="shared" si="5"/>
        <v>20452.304500000006</v>
      </c>
      <c r="M18" s="31">
        <f t="shared" si="1"/>
        <v>0.90194270566802237</v>
      </c>
      <c r="N18" s="24">
        <f t="shared" si="6"/>
        <v>18446.806857876276</v>
      </c>
      <c r="O18" s="24">
        <f t="shared" si="7"/>
        <v>20452.304500000006</v>
      </c>
      <c r="P18" s="3">
        <f t="shared" si="2"/>
        <v>59592.592500000006</v>
      </c>
    </row>
    <row r="19" spans="1:17" x14ac:dyDescent="0.25">
      <c r="A19" s="12">
        <v>4</v>
      </c>
      <c r="B19" s="18"/>
      <c r="C19" s="16">
        <f>C18*(1+$B$2)</f>
        <v>55702.8295296</v>
      </c>
      <c r="D19" s="27">
        <f>iWoDat!$D$28</f>
        <v>72800</v>
      </c>
      <c r="E19" s="16">
        <f t="shared" si="3"/>
        <v>-14064.58520328661</v>
      </c>
      <c r="F19" s="16">
        <f t="shared" si="4"/>
        <v>822281.73739785235</v>
      </c>
      <c r="G19" s="28">
        <f>iWoDat!$D$21</f>
        <v>39140.288</v>
      </c>
      <c r="H19" s="28">
        <f t="shared" si="8"/>
        <v>3869.0099874999987</v>
      </c>
      <c r="I19" s="28">
        <f t="shared" si="9"/>
        <v>7319.7486249999974</v>
      </c>
      <c r="J19" s="29">
        <f t="shared" si="10"/>
        <v>2184</v>
      </c>
      <c r="K19" s="25">
        <f t="shared" si="0"/>
        <v>13372.758612499996</v>
      </c>
      <c r="L19" s="24">
        <f t="shared" si="5"/>
        <v>20286.953387499998</v>
      </c>
      <c r="M19" s="31">
        <f t="shared" si="1"/>
        <v>0.87144222769857238</v>
      </c>
      <c r="N19" s="24">
        <f t="shared" si="6"/>
        <v>17678.907853220098</v>
      </c>
      <c r="O19" s="24">
        <f t="shared" si="7"/>
        <v>20286.953387499998</v>
      </c>
      <c r="P19" s="3">
        <f t="shared" si="2"/>
        <v>59427.241387499998</v>
      </c>
    </row>
    <row r="20" spans="1:17" x14ac:dyDescent="0.25">
      <c r="A20" s="12">
        <v>5</v>
      </c>
      <c r="B20" s="18"/>
      <c r="C20" s="19">
        <f>C19*(1+$B$2)</f>
        <v>56705.4804611328</v>
      </c>
      <c r="D20" s="27">
        <f>iWoDat!$D$28</f>
        <v>72800</v>
      </c>
      <c r="E20" s="16">
        <f t="shared" si="3"/>
        <v>-13828.065293298452</v>
      </c>
      <c r="F20" s="16">
        <f t="shared" si="4"/>
        <v>808453.6721045539</v>
      </c>
      <c r="G20" s="28">
        <f>iWoDat!$D$21</f>
        <v>39140.288</v>
      </c>
      <c r="H20" s="28">
        <f t="shared" si="8"/>
        <v>3927.0451373124984</v>
      </c>
      <c r="I20" s="28">
        <f t="shared" si="9"/>
        <v>7429.5448543749962</v>
      </c>
      <c r="J20" s="29">
        <f t="shared" si="10"/>
        <v>2184</v>
      </c>
      <c r="K20" s="25">
        <f t="shared" si="0"/>
        <v>13540.589991687495</v>
      </c>
      <c r="L20" s="24">
        <f t="shared" si="5"/>
        <v>20119.122008312508</v>
      </c>
      <c r="M20" s="31">
        <f t="shared" si="1"/>
        <v>0.84197316685852419</v>
      </c>
      <c r="N20" s="24">
        <f t="shared" si="6"/>
        <v>16939.760871751914</v>
      </c>
      <c r="O20" s="24">
        <f t="shared" si="7"/>
        <v>20119.122008312508</v>
      </c>
      <c r="P20" s="3">
        <f t="shared" si="2"/>
        <v>59259.410008312509</v>
      </c>
    </row>
    <row r="21" spans="1:17" x14ac:dyDescent="0.25">
      <c r="A21" s="12">
        <v>6</v>
      </c>
      <c r="B21" s="18"/>
      <c r="C21" s="16">
        <f>C20*(1+$B$3)</f>
        <v>57385.946226666398</v>
      </c>
      <c r="D21" s="27">
        <f>iWoDat!$D$28</f>
        <v>72800</v>
      </c>
      <c r="E21" s="16">
        <f t="shared" si="3"/>
        <v>-13595.522867680644</v>
      </c>
      <c r="F21" s="16">
        <f t="shared" si="4"/>
        <v>794858.14923687326</v>
      </c>
      <c r="G21" s="28">
        <f>iWoDat!$D$21</f>
        <v>39140.288</v>
      </c>
      <c r="H21" s="28">
        <f t="shared" si="8"/>
        <v>3985.9508143721855</v>
      </c>
      <c r="I21" s="28">
        <f t="shared" si="9"/>
        <v>7540.9880271906204</v>
      </c>
      <c r="J21" s="29">
        <f t="shared" si="10"/>
        <v>2184</v>
      </c>
      <c r="K21" s="25">
        <f t="shared" si="0"/>
        <v>13710.938841562805</v>
      </c>
      <c r="L21" s="24">
        <f t="shared" si="5"/>
        <v>19948.773158437194</v>
      </c>
      <c r="M21" s="31">
        <f t="shared" si="1"/>
        <v>0.81350064430775282</v>
      </c>
      <c r="N21" s="24">
        <f t="shared" si="6"/>
        <v>16228.339817537862</v>
      </c>
      <c r="O21" s="24">
        <f t="shared" si="7"/>
        <v>19948.773158437194</v>
      </c>
      <c r="P21" s="3">
        <f t="shared" si="2"/>
        <v>59089.061158437195</v>
      </c>
    </row>
    <row r="22" spans="1:17" x14ac:dyDescent="0.25">
      <c r="A22" s="12">
        <v>7</v>
      </c>
      <c r="B22" s="18"/>
      <c r="C22" s="16">
        <f>C21*(1+$B$3)</f>
        <v>58074.577581386395</v>
      </c>
      <c r="D22" s="27">
        <f>iWoDat!$D$28</f>
        <v>72800</v>
      </c>
      <c r="E22" s="16">
        <f t="shared" si="3"/>
        <v>-13366.891038271715</v>
      </c>
      <c r="F22" s="16">
        <f t="shared" si="4"/>
        <v>781491.25819860154</v>
      </c>
      <c r="G22" s="28">
        <f>iWoDat!$D$21</f>
        <v>39140.288</v>
      </c>
      <c r="H22" s="28">
        <f t="shared" si="8"/>
        <v>4045.7400765877678</v>
      </c>
      <c r="I22" s="28">
        <f t="shared" si="9"/>
        <v>7654.1028475984785</v>
      </c>
      <c r="J22" s="29">
        <f t="shared" si="10"/>
        <v>2184</v>
      </c>
      <c r="K22" s="25">
        <f t="shared" si="0"/>
        <v>13883.842924186247</v>
      </c>
      <c r="L22" s="24">
        <f t="shared" si="5"/>
        <v>19775.869075813753</v>
      </c>
      <c r="M22" s="31">
        <f t="shared" si="1"/>
        <v>0.78599096068381913</v>
      </c>
      <c r="N22" s="24">
        <f t="shared" si="6"/>
        <v>15543.654333256281</v>
      </c>
      <c r="O22" s="24">
        <f t="shared" si="7"/>
        <v>19775.869075813753</v>
      </c>
      <c r="P22" s="3">
        <f t="shared" si="2"/>
        <v>58916.157075813753</v>
      </c>
    </row>
    <row r="23" spans="1:17" x14ac:dyDescent="0.25">
      <c r="A23" s="12">
        <v>8</v>
      </c>
      <c r="B23" s="18"/>
      <c r="C23" s="16">
        <f>C22*(1+$B$3)</f>
        <v>58771.472512363034</v>
      </c>
      <c r="D23" s="27">
        <f>iWoDat!$D$28</f>
        <v>72800</v>
      </c>
      <c r="E23" s="16">
        <f t="shared" si="3"/>
        <v>-13142.104041748447</v>
      </c>
      <c r="F23" s="16">
        <f t="shared" si="4"/>
        <v>768349.1541568531</v>
      </c>
      <c r="G23" s="28">
        <f>iWoDat!$D$21</f>
        <v>39140.288</v>
      </c>
      <c r="H23" s="28">
        <f t="shared" si="8"/>
        <v>4106.4261777365837</v>
      </c>
      <c r="I23" s="28">
        <f t="shared" si="9"/>
        <v>7768.914390312455</v>
      </c>
      <c r="J23" s="29">
        <f t="shared" si="10"/>
        <v>2184</v>
      </c>
      <c r="K23" s="25">
        <f t="shared" si="0"/>
        <v>14059.34056804904</v>
      </c>
      <c r="L23" s="24">
        <f t="shared" si="5"/>
        <v>19600.37143195096</v>
      </c>
      <c r="M23" s="31">
        <f t="shared" si="1"/>
        <v>0.75941155621625056</v>
      </c>
      <c r="N23" s="24">
        <f t="shared" si="6"/>
        <v>14884.748571554417</v>
      </c>
      <c r="O23" s="24">
        <f t="shared" si="7"/>
        <v>19600.37143195096</v>
      </c>
      <c r="P23" s="3">
        <f t="shared" si="2"/>
        <v>58740.65943195096</v>
      </c>
    </row>
    <row r="24" spans="1:17" x14ac:dyDescent="0.25">
      <c r="A24" s="12">
        <v>9</v>
      </c>
      <c r="B24" s="18"/>
      <c r="C24" s="16">
        <f>C23*(1+$B$3)</f>
        <v>59476.73018251139</v>
      </c>
      <c r="D24" s="27">
        <f>iWoDat!$D$28</f>
        <v>72800</v>
      </c>
      <c r="E24" s="16">
        <f t="shared" si="3"/>
        <v>-12921.097220709547</v>
      </c>
      <c r="F24" s="16">
        <f t="shared" si="4"/>
        <v>755428.05693614355</v>
      </c>
      <c r="G24" s="28">
        <f>iWoDat!$D$21</f>
        <v>39140.288</v>
      </c>
      <c r="H24" s="28">
        <f t="shared" si="8"/>
        <v>4168.0225704026316</v>
      </c>
      <c r="I24" s="28">
        <f t="shared" si="9"/>
        <v>7885.4481061671413</v>
      </c>
      <c r="J24" s="29">
        <f t="shared" si="10"/>
        <v>2184</v>
      </c>
      <c r="K24" s="25">
        <f t="shared" si="0"/>
        <v>14237.470676569774</v>
      </c>
      <c r="L24" s="24">
        <f t="shared" si="5"/>
        <v>19422.241323430229</v>
      </c>
      <c r="M24" s="31">
        <f t="shared" si="1"/>
        <v>0.73373097218961414</v>
      </c>
      <c r="N24" s="24">
        <f t="shared" si="6"/>
        <v>14250.700008341761</v>
      </c>
      <c r="O24" s="24">
        <f t="shared" si="7"/>
        <v>19422.241323430229</v>
      </c>
      <c r="P24" s="3">
        <f t="shared" si="2"/>
        <v>58562.52932343023</v>
      </c>
    </row>
    <row r="25" spans="1:17" x14ac:dyDescent="0.25">
      <c r="A25" s="12">
        <v>10</v>
      </c>
      <c r="B25" s="18"/>
      <c r="C25" s="19">
        <f>C24*(1+$B$3)</f>
        <v>60190.45094470153</v>
      </c>
      <c r="D25" s="27">
        <f>iWoDat!$D$28</f>
        <v>72800</v>
      </c>
      <c r="E25" s="16">
        <f t="shared" si="3"/>
        <v>-12703.807005078066</v>
      </c>
      <c r="F25" s="16">
        <f t="shared" si="4"/>
        <v>742724.24993106548</v>
      </c>
      <c r="G25" s="28">
        <f>iWoDat!$D$21</f>
        <v>39140.288</v>
      </c>
      <c r="H25" s="28">
        <f t="shared" si="8"/>
        <v>4230.5429089586705</v>
      </c>
      <c r="I25" s="28">
        <f t="shared" si="9"/>
        <v>8003.7298277596474</v>
      </c>
      <c r="J25" s="29">
        <f t="shared" si="10"/>
        <v>2184</v>
      </c>
      <c r="K25" s="25">
        <f t="shared" si="0"/>
        <v>14418.272736718318</v>
      </c>
      <c r="L25" s="24">
        <f t="shared" si="5"/>
        <v>19241.439263281682</v>
      </c>
      <c r="M25" s="31">
        <f t="shared" si="1"/>
        <v>0.70891881370977217</v>
      </c>
      <c r="N25" s="24">
        <f t="shared" si="6"/>
        <v>13640.618296594283</v>
      </c>
      <c r="O25" s="24">
        <f t="shared" si="7"/>
        <v>19241.439263281682</v>
      </c>
      <c r="P25" s="3">
        <f t="shared" si="2"/>
        <v>58381.727263281682</v>
      </c>
    </row>
    <row r="26" spans="1:17" x14ac:dyDescent="0.25">
      <c r="A26" s="12">
        <v>11</v>
      </c>
      <c r="B26" s="18"/>
      <c r="C26" s="16">
        <f>C25*(1+$B$4)</f>
        <v>60551.593650369738</v>
      </c>
      <c r="D26" s="27">
        <f>iWoDat!$D$28</f>
        <v>72800</v>
      </c>
      <c r="E26" s="16">
        <f t="shared" si="3"/>
        <v>-12490.170893815812</v>
      </c>
      <c r="F26" s="16">
        <f t="shared" si="4"/>
        <v>730234.07903724967</v>
      </c>
      <c r="G26" s="28">
        <f>iWoDat!$D$21</f>
        <v>39140.288</v>
      </c>
      <c r="H26" s="28">
        <f t="shared" si="8"/>
        <v>4294.0010525930502</v>
      </c>
      <c r="I26" s="28">
        <f t="shared" si="9"/>
        <v>8123.7857751760412</v>
      </c>
      <c r="J26" s="29">
        <f t="shared" si="10"/>
        <v>2184</v>
      </c>
      <c r="K26" s="25">
        <f t="shared" si="0"/>
        <v>14601.78682776909</v>
      </c>
      <c r="L26" s="24">
        <f t="shared" si="5"/>
        <v>19057.925172230913</v>
      </c>
      <c r="M26" s="31">
        <f t="shared" si="1"/>
        <v>0.68494571372924851</v>
      </c>
      <c r="N26" s="24">
        <f t="shared" si="6"/>
        <v>13053.644159292313</v>
      </c>
      <c r="O26" s="24">
        <f t="shared" si="7"/>
        <v>19057.925172230913</v>
      </c>
      <c r="P26" s="3">
        <f t="shared" si="2"/>
        <v>58198.213172230913</v>
      </c>
    </row>
    <row r="27" spans="1:17" x14ac:dyDescent="0.25">
      <c r="A27" s="12">
        <v>12</v>
      </c>
      <c r="B27" s="18"/>
      <c r="C27" s="16">
        <f>C26*(1+$B$4)</f>
        <v>60914.903212271958</v>
      </c>
      <c r="D27" s="27">
        <f>iWoDat!$D$28</f>
        <v>72800</v>
      </c>
      <c r="E27" s="16">
        <f t="shared" si="3"/>
        <v>-12280.127436945681</v>
      </c>
      <c r="F27" s="16">
        <f t="shared" si="4"/>
        <v>717953.95160030399</v>
      </c>
      <c r="G27" s="28">
        <f>iWoDat!$D$21</f>
        <v>39140.288</v>
      </c>
      <c r="H27" s="28">
        <f t="shared" si="8"/>
        <v>4358.4110683819454</v>
      </c>
      <c r="I27" s="28">
        <f t="shared" si="9"/>
        <v>8245.642561803681</v>
      </c>
      <c r="J27" s="29">
        <f t="shared" si="10"/>
        <v>2184</v>
      </c>
      <c r="K27" s="25">
        <f t="shared" si="0"/>
        <v>14788.053630185626</v>
      </c>
      <c r="L27" s="24">
        <f t="shared" si="5"/>
        <v>18871.658369814373</v>
      </c>
      <c r="M27" s="31">
        <f t="shared" si="1"/>
        <v>0.66178329828912896</v>
      </c>
      <c r="N27" s="24">
        <f t="shared" si="6"/>
        <v>12488.948320161402</v>
      </c>
      <c r="O27" s="24">
        <f t="shared" si="7"/>
        <v>18871.658369814373</v>
      </c>
      <c r="P27" s="3">
        <f t="shared" si="2"/>
        <v>58011.946369814374</v>
      </c>
    </row>
    <row r="28" spans="1:17" x14ac:dyDescent="0.25">
      <c r="A28" s="12">
        <v>13</v>
      </c>
      <c r="B28" s="18"/>
      <c r="C28" s="16">
        <f>C27*(1+$B$4)</f>
        <v>61280.39263154559</v>
      </c>
      <c r="D28" s="27">
        <f>iWoDat!$D$28</f>
        <v>72800</v>
      </c>
      <c r="E28" s="16">
        <f t="shared" si="3"/>
        <v>-12073.616217876901</v>
      </c>
      <c r="F28" s="16">
        <f t="shared" si="4"/>
        <v>705880.33538242709</v>
      </c>
      <c r="G28" s="28">
        <f>iWoDat!$D$21</f>
        <v>39140.288</v>
      </c>
      <c r="H28" s="28">
        <f t="shared" si="8"/>
        <v>4423.7872344076741</v>
      </c>
      <c r="I28" s="28">
        <f t="shared" si="9"/>
        <v>8369.3272002307349</v>
      </c>
      <c r="J28" s="29">
        <f t="shared" si="10"/>
        <v>2184</v>
      </c>
      <c r="K28" s="25">
        <f t="shared" si="0"/>
        <v>14977.11443463841</v>
      </c>
      <c r="L28" s="24">
        <f t="shared" si="5"/>
        <v>18682.59756536159</v>
      </c>
      <c r="M28" s="31">
        <f t="shared" si="1"/>
        <v>0.63940415293635666</v>
      </c>
      <c r="N28" s="24">
        <f t="shared" si="6"/>
        <v>11945.730470930866</v>
      </c>
      <c r="O28" s="24">
        <f t="shared" si="7"/>
        <v>18682.59756536159</v>
      </c>
      <c r="P28" s="3">
        <f t="shared" si="2"/>
        <v>57822.88556536159</v>
      </c>
    </row>
    <row r="29" spans="1:17" x14ac:dyDescent="0.25">
      <c r="A29" s="12">
        <v>14</v>
      </c>
      <c r="B29" s="18"/>
      <c r="C29" s="16">
        <f>C28*(1+$B$4)</f>
        <v>61648.074987334861</v>
      </c>
      <c r="D29" s="27">
        <f>iWoDat!$D$28</f>
        <v>72800</v>
      </c>
      <c r="E29" s="16">
        <f t="shared" si="3"/>
        <v>-11870.577836025623</v>
      </c>
      <c r="F29" s="16">
        <f t="shared" si="4"/>
        <v>694009.75754640147</v>
      </c>
      <c r="G29" s="28">
        <f>iWoDat!$D$21</f>
        <v>39140.288</v>
      </c>
      <c r="H29" s="28">
        <f t="shared" si="8"/>
        <v>4490.1440429237891</v>
      </c>
      <c r="I29" s="28">
        <f t="shared" si="9"/>
        <v>8494.8671082341953</v>
      </c>
      <c r="J29" s="29">
        <f t="shared" si="10"/>
        <v>2184</v>
      </c>
      <c r="K29" s="25">
        <f t="shared" si="0"/>
        <v>15169.011151157985</v>
      </c>
      <c r="L29" s="24">
        <f t="shared" si="5"/>
        <v>18490.700848842011</v>
      </c>
      <c r="M29" s="31">
        <f t="shared" si="1"/>
        <v>0.61778179027667302</v>
      </c>
      <c r="N29" s="24">
        <f t="shared" si="6"/>
        <v>11423.218273868015</v>
      </c>
      <c r="O29" s="24">
        <f t="shared" si="7"/>
        <v>18490.700848842011</v>
      </c>
      <c r="P29" s="3">
        <f t="shared" si="2"/>
        <v>57630.988848842011</v>
      </c>
    </row>
    <row r="30" spans="1:17" x14ac:dyDescent="0.25">
      <c r="A30" s="12">
        <v>15</v>
      </c>
      <c r="B30" s="18"/>
      <c r="C30" s="19">
        <f>C29*(1+$B$4)</f>
        <v>62017.96343725887</v>
      </c>
      <c r="D30" s="27">
        <f>iWoDat!$D$28</f>
        <v>72800</v>
      </c>
      <c r="E30" s="16">
        <f t="shared" si="3"/>
        <v>-11670.953889730619</v>
      </c>
      <c r="F30" s="16">
        <f t="shared" si="4"/>
        <v>682338.80365667085</v>
      </c>
      <c r="G30" s="28">
        <f>iWoDat!$D$21</f>
        <v>39140.288</v>
      </c>
      <c r="H30" s="28">
        <f t="shared" si="8"/>
        <v>4557.4962035676454</v>
      </c>
      <c r="I30" s="28">
        <f t="shared" si="9"/>
        <v>8622.2901148577075</v>
      </c>
      <c r="J30" s="29">
        <f t="shared" si="10"/>
        <v>2184</v>
      </c>
      <c r="K30" s="25">
        <f t="shared" si="0"/>
        <v>15363.786318425353</v>
      </c>
      <c r="L30" s="24">
        <f t="shared" si="5"/>
        <v>18295.925681574648</v>
      </c>
      <c r="M30" s="31">
        <f t="shared" si="1"/>
        <v>0.59689061862480497</v>
      </c>
      <c r="N30" s="24">
        <f t="shared" si="6"/>
        <v>10920.666398388548</v>
      </c>
      <c r="O30" s="24">
        <f t="shared" si="7"/>
        <v>18295.925681574648</v>
      </c>
      <c r="P30" s="3">
        <f t="shared" si="2"/>
        <v>57436.213681574649</v>
      </c>
    </row>
    <row r="31" spans="1:17" x14ac:dyDescent="0.25">
      <c r="A31" s="12">
        <v>16</v>
      </c>
      <c r="B31" s="18"/>
      <c r="C31" s="16">
        <f>C30*(1+$B$5)</f>
        <v>62017.96343725887</v>
      </c>
      <c r="D31" s="27">
        <f>iWoDat!$D$28</f>
        <v>72800</v>
      </c>
      <c r="E31" s="16">
        <f t="shared" si="3"/>
        <v>-11474.68695945316</v>
      </c>
      <c r="F31" s="16">
        <f t="shared" si="4"/>
        <v>670864.11669721769</v>
      </c>
      <c r="G31" s="28">
        <f>iWoDat!$D$21</f>
        <v>39140.288</v>
      </c>
      <c r="H31" s="28">
        <f t="shared" si="8"/>
        <v>4625.85864662116</v>
      </c>
      <c r="I31" s="28">
        <f t="shared" si="9"/>
        <v>8751.6244665805716</v>
      </c>
      <c r="J31" s="29">
        <f t="shared" si="10"/>
        <v>2184</v>
      </c>
      <c r="K31" s="25">
        <f t="shared" si="0"/>
        <v>15561.483113201732</v>
      </c>
      <c r="L31" s="24">
        <f t="shared" si="5"/>
        <v>18098.228886798272</v>
      </c>
      <c r="M31" s="31">
        <f t="shared" si="1"/>
        <v>0.57670591171478747</v>
      </c>
      <c r="N31" s="24">
        <f t="shared" si="6"/>
        <v>10437.3555905839</v>
      </c>
      <c r="O31" s="24">
        <f t="shared" si="7"/>
        <v>18098.228886798272</v>
      </c>
      <c r="P31" s="3">
        <f t="shared" si="2"/>
        <v>57238.516886798272</v>
      </c>
    </row>
    <row r="32" spans="1:17" x14ac:dyDescent="0.25">
      <c r="A32" s="12">
        <v>17</v>
      </c>
      <c r="B32" s="18"/>
      <c r="C32" s="16">
        <f>C31*(1+$B$5)</f>
        <v>62017.96343725887</v>
      </c>
      <c r="D32" s="27">
        <f>iWoDat!$D$28</f>
        <v>72800</v>
      </c>
      <c r="E32" s="16">
        <f t="shared" si="3"/>
        <v>-11281.720591262099</v>
      </c>
      <c r="F32" s="16">
        <f t="shared" si="4"/>
        <v>659582.39610595559</v>
      </c>
      <c r="G32" s="28">
        <f>iWoDat!$D$21</f>
        <v>39140.288</v>
      </c>
      <c r="H32" s="28">
        <f t="shared" si="8"/>
        <v>4695.2465263204767</v>
      </c>
      <c r="I32" s="28">
        <f t="shared" si="9"/>
        <v>8882.8988335792801</v>
      </c>
      <c r="J32" s="29">
        <f t="shared" si="10"/>
        <v>2184</v>
      </c>
      <c r="K32" s="25">
        <f t="shared" si="0"/>
        <v>15762.145359899758</v>
      </c>
      <c r="L32" s="24">
        <f t="shared" si="5"/>
        <v>17897.566640100238</v>
      </c>
      <c r="M32" s="31">
        <f t="shared" si="1"/>
        <v>0.55720377943457733</v>
      </c>
      <c r="N32" s="24">
        <f t="shared" si="6"/>
        <v>9972.5917745460629</v>
      </c>
      <c r="O32" s="24">
        <f t="shared" si="7"/>
        <v>17897.566640100238</v>
      </c>
      <c r="P32" s="3">
        <f t="shared" si="2"/>
        <v>57037.854640100239</v>
      </c>
    </row>
    <row r="33" spans="1:16" x14ac:dyDescent="0.25">
      <c r="A33" s="12">
        <v>18</v>
      </c>
      <c r="B33" s="18"/>
      <c r="C33" s="16">
        <f>C32*(1+$B$5)</f>
        <v>62017.96343725887</v>
      </c>
      <c r="D33" s="27">
        <f>iWoDat!$D$28</f>
        <v>72800</v>
      </c>
      <c r="E33" s="16">
        <f t="shared" si="3"/>
        <v>-11091.999280594988</v>
      </c>
      <c r="F33" s="16">
        <f t="shared" si="4"/>
        <v>648490.3968253606</v>
      </c>
      <c r="G33" s="28">
        <f>iWoDat!$D$21</f>
        <v>39140.288</v>
      </c>
      <c r="H33" s="28">
        <f t="shared" si="8"/>
        <v>4765.6752242152834</v>
      </c>
      <c r="I33" s="28">
        <f t="shared" si="9"/>
        <v>9016.142316082969</v>
      </c>
      <c r="J33" s="29">
        <f t="shared" si="10"/>
        <v>2184</v>
      </c>
      <c r="K33" s="25">
        <f t="shared" si="0"/>
        <v>15965.817540298252</v>
      </c>
      <c r="L33" s="24">
        <f t="shared" si="5"/>
        <v>17693.89445970174</v>
      </c>
      <c r="M33" s="31">
        <f t="shared" si="1"/>
        <v>0.53836113955031628</v>
      </c>
      <c r="N33" s="24">
        <f t="shared" si="6"/>
        <v>9525.7051844080561</v>
      </c>
      <c r="O33" s="24">
        <f t="shared" si="7"/>
        <v>17693.89445970174</v>
      </c>
      <c r="P33" s="3">
        <f t="shared" si="2"/>
        <v>56834.18245970174</v>
      </c>
    </row>
    <row r="34" spans="1:16" x14ac:dyDescent="0.25">
      <c r="A34" s="12">
        <v>19</v>
      </c>
      <c r="B34" s="18"/>
      <c r="C34" s="16">
        <f>C33*(1+$B$5)</f>
        <v>62017.96343725887</v>
      </c>
      <c r="D34" s="27">
        <f>iWoDat!$D$28</f>
        <v>72800</v>
      </c>
      <c r="E34" s="16">
        <f t="shared" si="3"/>
        <v>-10905.468456293107</v>
      </c>
      <c r="F34" s="16">
        <f t="shared" si="4"/>
        <v>637584.92836906749</v>
      </c>
      <c r="G34" s="28">
        <f>iWoDat!$D$21</f>
        <v>39140.288</v>
      </c>
      <c r="H34" s="28">
        <f t="shared" si="8"/>
        <v>4837.1603525785122</v>
      </c>
      <c r="I34" s="28">
        <f t="shared" si="9"/>
        <v>9151.3844508242128</v>
      </c>
      <c r="J34" s="29">
        <f t="shared" si="10"/>
        <v>2184</v>
      </c>
      <c r="K34" s="25">
        <f t="shared" si="0"/>
        <v>16172.544803402725</v>
      </c>
      <c r="L34" s="24">
        <f t="shared" si="5"/>
        <v>17487.167196597278</v>
      </c>
      <c r="M34" s="31">
        <f t="shared" si="1"/>
        <v>0.52015569038677911</v>
      </c>
      <c r="N34" s="24">
        <f t="shared" si="6"/>
        <v>9096.0495260550942</v>
      </c>
      <c r="O34" s="24">
        <f t="shared" si="7"/>
        <v>17487.167196597278</v>
      </c>
      <c r="P34" s="3">
        <f t="shared" si="2"/>
        <v>56627.455196597279</v>
      </c>
    </row>
    <row r="35" spans="1:16" x14ac:dyDescent="0.25">
      <c r="A35" s="12">
        <v>20</v>
      </c>
      <c r="B35" s="23">
        <f>(L35+G35)/B12</f>
        <v>626862.52249495825</v>
      </c>
      <c r="C35" s="16">
        <f>C34*(1+$B$5)</f>
        <v>62017.96343725887</v>
      </c>
      <c r="D35" s="27">
        <f>iWoDat!$D$28</f>
        <v>72800</v>
      </c>
      <c r="E35" s="16">
        <f t="shared" si="3"/>
        <v>-10722.074464904144</v>
      </c>
      <c r="F35" s="23">
        <f t="shared" si="4"/>
        <v>626862.85390416335</v>
      </c>
      <c r="G35" s="28">
        <f>iWoDat!$D$21</f>
        <v>39140.288</v>
      </c>
      <c r="H35" s="28">
        <f t="shared" si="8"/>
        <v>4909.717757867189</v>
      </c>
      <c r="I35" s="30">
        <f t="shared" si="9"/>
        <v>9288.6552175865745</v>
      </c>
      <c r="J35" s="29">
        <f t="shared" si="10"/>
        <v>2184</v>
      </c>
      <c r="K35" s="25">
        <f t="shared" si="0"/>
        <v>16382.372975453764</v>
      </c>
      <c r="L35" s="24">
        <f t="shared" si="5"/>
        <v>17277.339024546236</v>
      </c>
      <c r="M35" s="31">
        <f t="shared" si="1"/>
        <v>0.50256588443167061</v>
      </c>
      <c r="N35" s="32">
        <f>L35*M35+B35*M35</f>
        <v>323722.71920224361</v>
      </c>
      <c r="O35" s="32">
        <f>L35+B35</f>
        <v>644139.86151950445</v>
      </c>
      <c r="P35" s="3">
        <f t="shared" si="2"/>
        <v>683280.14951950451</v>
      </c>
    </row>
    <row r="36" spans="1:16" x14ac:dyDescent="0.25">
      <c r="H36" s="20"/>
      <c r="I36" s="21"/>
      <c r="J36" s="20"/>
      <c r="K36" s="20"/>
      <c r="L36" s="26"/>
      <c r="M36" s="33"/>
      <c r="N36" s="34">
        <f>SUM(N15:N35)</f>
        <v>349517.83819375385</v>
      </c>
      <c r="O36" s="35">
        <f>IRR(O15:O35)</f>
        <v>0.10777574345858532</v>
      </c>
    </row>
    <row r="38" spans="1:16" x14ac:dyDescent="0.25">
      <c r="B38" s="22"/>
      <c r="C38" s="22"/>
    </row>
  </sheetData>
  <phoneticPr fontId="6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45" zoomScale="125" workbookViewId="0">
      <selection activeCell="N51" sqref="N51"/>
    </sheetView>
  </sheetViews>
  <sheetFormatPr baseColWidth="10" defaultRowHeight="13.2" x14ac:dyDescent="0.25"/>
  <cols>
    <col min="1" max="1" width="7.88671875" bestFit="1" customWidth="1"/>
    <col min="2" max="2" width="10.109375" customWidth="1"/>
    <col min="3" max="3" width="9.6640625" customWidth="1"/>
    <col min="4" max="4" width="6.6640625" customWidth="1"/>
    <col min="5" max="5" width="7.44140625" customWidth="1"/>
    <col min="6" max="6" width="10.33203125" customWidth="1"/>
    <col min="7" max="7" width="7.44140625" customWidth="1"/>
    <col min="8" max="8" width="6.33203125" customWidth="1"/>
    <col min="9" max="9" width="8.33203125" customWidth="1"/>
    <col min="10" max="12" width="7.33203125" customWidth="1"/>
    <col min="13" max="13" width="7.44140625" customWidth="1"/>
    <col min="14" max="14" width="9.33203125" customWidth="1"/>
    <col min="15" max="15" width="11.33203125" customWidth="1"/>
    <col min="16" max="16" width="8.33203125" customWidth="1"/>
  </cols>
  <sheetData>
    <row r="1" spans="1:16" x14ac:dyDescent="0.25">
      <c r="A1" s="1" t="s">
        <v>68</v>
      </c>
      <c r="B1" s="14">
        <v>3.5000000000000003E-2</v>
      </c>
      <c r="C1" s="14"/>
    </row>
    <row r="2" spans="1:16" x14ac:dyDescent="0.25">
      <c r="A2" t="s">
        <v>38</v>
      </c>
      <c r="B2" s="14">
        <v>1.7999999999999999E-2</v>
      </c>
      <c r="C2" s="14"/>
    </row>
    <row r="3" spans="1:16" x14ac:dyDescent="0.25">
      <c r="A3" t="s">
        <v>39</v>
      </c>
      <c r="B3" s="14">
        <v>1.2E-2</v>
      </c>
      <c r="C3" s="14"/>
    </row>
    <row r="4" spans="1:16" x14ac:dyDescent="0.25">
      <c r="A4" t="s">
        <v>40</v>
      </c>
      <c r="B4" s="14">
        <v>6.0000000000000001E-3</v>
      </c>
      <c r="C4" s="14"/>
    </row>
    <row r="5" spans="1:16" x14ac:dyDescent="0.25">
      <c r="A5" t="s">
        <v>41</v>
      </c>
      <c r="B5" s="14">
        <v>0</v>
      </c>
      <c r="C5" s="14"/>
    </row>
    <row r="6" spans="1:16" x14ac:dyDescent="0.25">
      <c r="A6" t="s">
        <v>42</v>
      </c>
      <c r="B6" s="14">
        <v>1.4999999999999999E-2</v>
      </c>
      <c r="C6" s="14"/>
    </row>
    <row r="7" spans="1:16" x14ac:dyDescent="0.25">
      <c r="A7" t="s">
        <v>43</v>
      </c>
      <c r="B7" s="14">
        <v>1.4999999999999999E-2</v>
      </c>
      <c r="C7" s="14"/>
    </row>
    <row r="8" spans="1:16" x14ac:dyDescent="0.25">
      <c r="A8" t="s">
        <v>44</v>
      </c>
      <c r="B8" s="14">
        <v>0</v>
      </c>
      <c r="C8" s="14"/>
    </row>
    <row r="9" spans="1:16" x14ac:dyDescent="0.25">
      <c r="A9" t="s">
        <v>45</v>
      </c>
      <c r="B9" s="14">
        <v>0.03</v>
      </c>
      <c r="C9" s="14"/>
    </row>
    <row r="10" spans="1:16" ht="15.6" x14ac:dyDescent="0.35">
      <c r="A10" t="s">
        <v>56</v>
      </c>
      <c r="B10" s="14">
        <v>0.03</v>
      </c>
      <c r="C10" s="14"/>
    </row>
    <row r="11" spans="1:16" x14ac:dyDescent="0.25">
      <c r="A11" t="s">
        <v>46</v>
      </c>
      <c r="B11" s="15"/>
      <c r="C11" s="15"/>
    </row>
    <row r="12" spans="1:16" x14ac:dyDescent="0.25">
      <c r="A12" t="s">
        <v>47</v>
      </c>
      <c r="B12" s="15"/>
      <c r="C12" s="15"/>
      <c r="D12" s="3"/>
      <c r="E12" s="3"/>
      <c r="F12" s="3"/>
    </row>
    <row r="13" spans="1:16" x14ac:dyDescent="0.25">
      <c r="A13" t="s">
        <v>48</v>
      </c>
      <c r="B13" s="15">
        <v>-1.68167E-2</v>
      </c>
      <c r="C13" s="15"/>
      <c r="D13" s="3"/>
      <c r="E13" s="3"/>
      <c r="F13" s="3"/>
    </row>
    <row r="14" spans="1:16" ht="15.6" x14ac:dyDescent="0.35">
      <c r="A14" s="11" t="s">
        <v>27</v>
      </c>
      <c r="B14" s="11" t="s">
        <v>71</v>
      </c>
      <c r="C14" s="11" t="s">
        <v>63</v>
      </c>
      <c r="D14" s="11" t="s">
        <v>2</v>
      </c>
      <c r="E14" s="11" t="s">
        <v>48</v>
      </c>
      <c r="F14" s="11" t="s">
        <v>49</v>
      </c>
      <c r="G14" s="11" t="s">
        <v>50</v>
      </c>
      <c r="H14" s="11" t="s">
        <v>42</v>
      </c>
      <c r="I14" s="11" t="s">
        <v>51</v>
      </c>
      <c r="J14" s="11" t="s">
        <v>45</v>
      </c>
      <c r="K14" s="11" t="s">
        <v>64</v>
      </c>
      <c r="L14" s="11" t="s">
        <v>52</v>
      </c>
      <c r="M14" s="11" t="s">
        <v>53</v>
      </c>
      <c r="N14" s="11" t="s">
        <v>54</v>
      </c>
      <c r="O14" s="11" t="s">
        <v>37</v>
      </c>
      <c r="P14" s="11" t="s">
        <v>55</v>
      </c>
    </row>
    <row r="15" spans="1:16" x14ac:dyDescent="0.25">
      <c r="A15" s="12">
        <v>0</v>
      </c>
      <c r="B15" s="16">
        <f>iWoDat!$D$16*(-1)</f>
        <v>-240000</v>
      </c>
      <c r="C15" s="16"/>
      <c r="D15" s="16"/>
      <c r="E15" s="16"/>
      <c r="F15" s="16">
        <f>(iWoDat!$D$6+iWoDat!$D$5+iWoDat!$D$13)*iWoDat!$D$3</f>
        <v>880000</v>
      </c>
      <c r="G15" s="16"/>
      <c r="H15" s="16"/>
      <c r="I15" s="16"/>
      <c r="J15" s="16"/>
      <c r="K15" s="16">
        <f t="shared" ref="K15:K35" si="0">SUM(H15:J15)</f>
        <v>0</v>
      </c>
      <c r="L15" s="16">
        <v>0</v>
      </c>
      <c r="M15" s="17">
        <f t="shared" ref="M15:M35" si="1">1/(1+$B$1)^A15</f>
        <v>1</v>
      </c>
      <c r="N15" s="16">
        <f>B15*M15</f>
        <v>-240000</v>
      </c>
      <c r="O15" s="16">
        <f>B15</f>
        <v>-240000</v>
      </c>
      <c r="P15" s="3">
        <f t="shared" ref="P15:P35" si="2">O15+G15</f>
        <v>-240000</v>
      </c>
    </row>
    <row r="16" spans="1:16" x14ac:dyDescent="0.25">
      <c r="A16" s="12">
        <v>1</v>
      </c>
      <c r="B16" s="18"/>
      <c r="C16" s="16">
        <f>iWoDat!$D$33*iWoDat!$D$3*12</f>
        <v>52800</v>
      </c>
      <c r="D16" s="27">
        <f>iWoDat!$D$28-iWoDarl2!$C$16</f>
        <v>64720</v>
      </c>
      <c r="E16" s="16">
        <f t="shared" ref="E16:E35" si="3">F16-F15</f>
        <v>-14798.695999999996</v>
      </c>
      <c r="F16" s="16">
        <f t="shared" ref="F16:F35" si="4">F15*(1+$B$13)</f>
        <v>865201.304</v>
      </c>
      <c r="G16" s="28">
        <f>iWoDarl2!E20</f>
        <v>4800</v>
      </c>
      <c r="H16" s="28">
        <f>iWoDat!$D$23</f>
        <v>3700</v>
      </c>
      <c r="I16" s="28">
        <f>iWoDat!$D$24</f>
        <v>7000</v>
      </c>
      <c r="J16" s="29">
        <f>$B$10*D16</f>
        <v>1941.6</v>
      </c>
      <c r="K16" s="25">
        <f t="shared" si="0"/>
        <v>12641.6</v>
      </c>
      <c r="L16" s="24">
        <f t="shared" ref="L16:L35" si="5">D16-SUM(G16:J16)</f>
        <v>47278.400000000001</v>
      </c>
      <c r="M16" s="31">
        <f t="shared" si="1"/>
        <v>0.96618357487922713</v>
      </c>
      <c r="N16" s="24">
        <f t="shared" ref="N16:N34" si="6">L16*M16</f>
        <v>45679.61352657005</v>
      </c>
      <c r="O16" s="24">
        <f t="shared" ref="O16:O34" si="7">L16</f>
        <v>47278.400000000001</v>
      </c>
      <c r="P16" s="3">
        <f t="shared" si="2"/>
        <v>52078.400000000001</v>
      </c>
    </row>
    <row r="17" spans="1:17" x14ac:dyDescent="0.25">
      <c r="A17" s="12">
        <v>2</v>
      </c>
      <c r="B17" s="18"/>
      <c r="C17" s="16">
        <f>C16*(1+$B$2)</f>
        <v>53750.400000000001</v>
      </c>
      <c r="D17" s="27">
        <f>iWoDat!$D$28-iWoDarl2!$C$16</f>
        <v>64720</v>
      </c>
      <c r="E17" s="16">
        <f t="shared" si="3"/>
        <v>-14549.830768976826</v>
      </c>
      <c r="F17" s="16">
        <f t="shared" si="4"/>
        <v>850651.47323102318</v>
      </c>
      <c r="G17" s="28">
        <f>iWoDarl2!E21</f>
        <v>4320</v>
      </c>
      <c r="H17" s="28">
        <f t="shared" ref="H17:H35" si="8">H16*(1+$B$6)</f>
        <v>3755.4999999999995</v>
      </c>
      <c r="I17" s="28">
        <f t="shared" ref="I17:I35" si="9">I16*(1+$B$7)</f>
        <v>7104.9999999999991</v>
      </c>
      <c r="J17" s="29">
        <f t="shared" ref="J17:J35" si="10">$B$9*D17</f>
        <v>1941.6</v>
      </c>
      <c r="K17" s="25">
        <f t="shared" si="0"/>
        <v>12802.099999999999</v>
      </c>
      <c r="L17" s="24">
        <f t="shared" si="5"/>
        <v>47597.9</v>
      </c>
      <c r="M17" s="31">
        <f t="shared" si="1"/>
        <v>0.93351070036640305</v>
      </c>
      <c r="N17" s="24">
        <f t="shared" si="6"/>
        <v>44433.148964970016</v>
      </c>
      <c r="O17" s="24">
        <f t="shared" si="7"/>
        <v>47597.9</v>
      </c>
      <c r="P17" s="3">
        <f t="shared" si="2"/>
        <v>51917.9</v>
      </c>
      <c r="Q17" s="3"/>
    </row>
    <row r="18" spans="1:17" x14ac:dyDescent="0.25">
      <c r="A18" s="12">
        <v>3</v>
      </c>
      <c r="B18" s="18"/>
      <c r="C18" s="16">
        <f>C17*(1+$B$2)</f>
        <v>54717.907200000001</v>
      </c>
      <c r="D18" s="27">
        <f>iWoDat!$D$28-iWoDarl2!$C$16</f>
        <v>64720</v>
      </c>
      <c r="E18" s="16">
        <f t="shared" si="3"/>
        <v>-14305.150629884214</v>
      </c>
      <c r="F18" s="16">
        <f t="shared" si="4"/>
        <v>836346.32260113896</v>
      </c>
      <c r="G18" s="28">
        <f>iWoDarl2!E22</f>
        <v>4320</v>
      </c>
      <c r="H18" s="28">
        <f t="shared" si="8"/>
        <v>3811.8324999999991</v>
      </c>
      <c r="I18" s="28">
        <f t="shared" si="9"/>
        <v>7211.574999999998</v>
      </c>
      <c r="J18" s="29">
        <f t="shared" si="10"/>
        <v>1941.6</v>
      </c>
      <c r="K18" s="25">
        <f t="shared" si="0"/>
        <v>12965.007499999998</v>
      </c>
      <c r="L18" s="24">
        <f t="shared" si="5"/>
        <v>47434.992500000008</v>
      </c>
      <c r="M18" s="31">
        <f t="shared" si="1"/>
        <v>0.90194270566802237</v>
      </c>
      <c r="N18" s="24">
        <f t="shared" si="6"/>
        <v>42783.645478792358</v>
      </c>
      <c r="O18" s="24">
        <f t="shared" si="7"/>
        <v>47434.992500000008</v>
      </c>
      <c r="P18" s="3">
        <f t="shared" si="2"/>
        <v>51754.992500000008</v>
      </c>
    </row>
    <row r="19" spans="1:17" x14ac:dyDescent="0.25">
      <c r="A19" s="12">
        <v>4</v>
      </c>
      <c r="B19" s="18"/>
      <c r="C19" s="16">
        <f>C18*(1+$B$2)</f>
        <v>55702.8295296</v>
      </c>
      <c r="D19" s="27">
        <f>iWoDat!$D$28-iWoDarl2!$C$16</f>
        <v>64720</v>
      </c>
      <c r="E19" s="16">
        <f t="shared" si="3"/>
        <v>-14064.58520328661</v>
      </c>
      <c r="F19" s="16">
        <f t="shared" si="4"/>
        <v>822281.73739785235</v>
      </c>
      <c r="G19" s="28">
        <f>iWoDarl2!E23</f>
        <v>40109.760000000002</v>
      </c>
      <c r="H19" s="28">
        <f t="shared" si="8"/>
        <v>3869.0099874999987</v>
      </c>
      <c r="I19" s="28">
        <f t="shared" si="9"/>
        <v>7319.7486249999974</v>
      </c>
      <c r="J19" s="29">
        <f t="shared" si="10"/>
        <v>1941.6</v>
      </c>
      <c r="K19" s="25">
        <f t="shared" si="0"/>
        <v>13130.358612499997</v>
      </c>
      <c r="L19" s="24">
        <f t="shared" si="5"/>
        <v>11479.881387499998</v>
      </c>
      <c r="M19" s="31">
        <f t="shared" si="1"/>
        <v>0.87144222769857238</v>
      </c>
      <c r="N19" s="24">
        <f t="shared" si="6"/>
        <v>10004.053410038376</v>
      </c>
      <c r="O19" s="24">
        <f t="shared" si="7"/>
        <v>11479.881387499998</v>
      </c>
      <c r="P19" s="3">
        <f t="shared" si="2"/>
        <v>51589.6413875</v>
      </c>
    </row>
    <row r="20" spans="1:17" x14ac:dyDescent="0.25">
      <c r="A20" s="12">
        <v>5</v>
      </c>
      <c r="B20" s="18"/>
      <c r="C20" s="19">
        <f>C19*(1+$B$2)</f>
        <v>56705.4804611328</v>
      </c>
      <c r="D20" s="27">
        <f>iWoDat!$D$28-iWoDarl2!$C$16</f>
        <v>64720</v>
      </c>
      <c r="E20" s="16">
        <f t="shared" si="3"/>
        <v>-13828.065293298452</v>
      </c>
      <c r="F20" s="16">
        <f t="shared" si="4"/>
        <v>808453.6721045539</v>
      </c>
      <c r="G20" s="28">
        <f>iWoDarl2!E24</f>
        <v>40109.760000000002</v>
      </c>
      <c r="H20" s="28">
        <f t="shared" si="8"/>
        <v>3927.0451373124984</v>
      </c>
      <c r="I20" s="28">
        <f t="shared" si="9"/>
        <v>7429.5448543749962</v>
      </c>
      <c r="J20" s="29">
        <f t="shared" si="10"/>
        <v>1941.6</v>
      </c>
      <c r="K20" s="25">
        <f t="shared" si="0"/>
        <v>13298.189991687495</v>
      </c>
      <c r="L20" s="24">
        <f t="shared" si="5"/>
        <v>11312.050008312508</v>
      </c>
      <c r="M20" s="31">
        <f t="shared" si="1"/>
        <v>0.84197316685852419</v>
      </c>
      <c r="N20" s="24">
        <f t="shared" si="6"/>
        <v>9524.4425691608776</v>
      </c>
      <c r="O20" s="24">
        <f t="shared" si="7"/>
        <v>11312.050008312508</v>
      </c>
      <c r="P20" s="3">
        <f t="shared" si="2"/>
        <v>51421.81000831251</v>
      </c>
    </row>
    <row r="21" spans="1:17" x14ac:dyDescent="0.25">
      <c r="A21" s="12">
        <v>6</v>
      </c>
      <c r="B21" s="18"/>
      <c r="C21" s="16">
        <f>C20*(1+$B$3)</f>
        <v>57385.946226666398</v>
      </c>
      <c r="D21" s="27">
        <f>iWoDat!$D$28-iWoDarl2!$C$16</f>
        <v>64720</v>
      </c>
      <c r="E21" s="16">
        <f t="shared" si="3"/>
        <v>-13595.522867680644</v>
      </c>
      <c r="F21" s="16">
        <f t="shared" si="4"/>
        <v>794858.14923687326</v>
      </c>
      <c r="G21" s="28">
        <f>iWoDarl2!E25</f>
        <v>40109.760000000002</v>
      </c>
      <c r="H21" s="28">
        <f t="shared" si="8"/>
        <v>3985.9508143721855</v>
      </c>
      <c r="I21" s="28">
        <f t="shared" si="9"/>
        <v>7540.9880271906204</v>
      </c>
      <c r="J21" s="29">
        <f t="shared" si="10"/>
        <v>1941.6</v>
      </c>
      <c r="K21" s="25">
        <f t="shared" si="0"/>
        <v>13468.538841562806</v>
      </c>
      <c r="L21" s="24">
        <f t="shared" si="5"/>
        <v>11141.701158437194</v>
      </c>
      <c r="M21" s="31">
        <f t="shared" si="1"/>
        <v>0.81350064430775282</v>
      </c>
      <c r="N21" s="24">
        <f t="shared" si="6"/>
        <v>9063.7810710730937</v>
      </c>
      <c r="O21" s="24">
        <f t="shared" si="7"/>
        <v>11141.701158437194</v>
      </c>
      <c r="P21" s="3">
        <f t="shared" si="2"/>
        <v>51251.461158437196</v>
      </c>
    </row>
    <row r="22" spans="1:17" x14ac:dyDescent="0.25">
      <c r="A22" s="12">
        <v>7</v>
      </c>
      <c r="B22" s="18"/>
      <c r="C22" s="16">
        <f>C21*(1+$B$3)</f>
        <v>58074.577581386395</v>
      </c>
      <c r="D22" s="27">
        <f>iWoDat!$D$28-iWoDarl2!$C$16</f>
        <v>64720</v>
      </c>
      <c r="E22" s="16">
        <f t="shared" si="3"/>
        <v>-13366.891038271715</v>
      </c>
      <c r="F22" s="16">
        <f t="shared" si="4"/>
        <v>781491.25819860154</v>
      </c>
      <c r="G22" s="28">
        <f>iWoDarl2!E26</f>
        <v>40109.760000000002</v>
      </c>
      <c r="H22" s="28">
        <f t="shared" si="8"/>
        <v>4045.7400765877678</v>
      </c>
      <c r="I22" s="28">
        <f t="shared" si="9"/>
        <v>7654.1028475984785</v>
      </c>
      <c r="J22" s="29">
        <f t="shared" si="10"/>
        <v>1941.6</v>
      </c>
      <c r="K22" s="25">
        <f t="shared" si="0"/>
        <v>13641.442924186247</v>
      </c>
      <c r="L22" s="24">
        <f t="shared" si="5"/>
        <v>10968.797075813753</v>
      </c>
      <c r="M22" s="31">
        <f t="shared" si="1"/>
        <v>0.78599096068381913</v>
      </c>
      <c r="N22" s="24">
        <f t="shared" si="6"/>
        <v>8621.3753511647174</v>
      </c>
      <c r="O22" s="24">
        <f t="shared" si="7"/>
        <v>10968.797075813753</v>
      </c>
      <c r="P22" s="3">
        <f t="shared" si="2"/>
        <v>51078.557075813755</v>
      </c>
    </row>
    <row r="23" spans="1:17" x14ac:dyDescent="0.25">
      <c r="A23" s="12">
        <v>8</v>
      </c>
      <c r="B23" s="18"/>
      <c r="C23" s="16">
        <f>C22*(1+$B$3)</f>
        <v>58771.472512363034</v>
      </c>
      <c r="D23" s="27">
        <f>iWoDat!$D$28-iWoDarl2!$C$16</f>
        <v>64720</v>
      </c>
      <c r="E23" s="16">
        <f t="shared" si="3"/>
        <v>-13142.104041748447</v>
      </c>
      <c r="F23" s="16">
        <f t="shared" si="4"/>
        <v>768349.1541568531</v>
      </c>
      <c r="G23" s="28">
        <f>iWoDarl2!E27</f>
        <v>40109.760000000002</v>
      </c>
      <c r="H23" s="28">
        <f t="shared" si="8"/>
        <v>4106.4261777365837</v>
      </c>
      <c r="I23" s="28">
        <f t="shared" si="9"/>
        <v>7768.914390312455</v>
      </c>
      <c r="J23" s="29">
        <f t="shared" si="10"/>
        <v>1941.6</v>
      </c>
      <c r="K23" s="25">
        <f t="shared" si="0"/>
        <v>13816.94056804904</v>
      </c>
      <c r="L23" s="24">
        <f t="shared" si="5"/>
        <v>10793.29943195096</v>
      </c>
      <c r="M23" s="31">
        <f t="shared" si="1"/>
        <v>0.75941155621625056</v>
      </c>
      <c r="N23" s="24">
        <f t="shared" si="6"/>
        <v>8196.556318325851</v>
      </c>
      <c r="O23" s="24">
        <f t="shared" si="7"/>
        <v>10793.29943195096</v>
      </c>
      <c r="P23" s="3">
        <f t="shared" si="2"/>
        <v>50903.059431950962</v>
      </c>
    </row>
    <row r="24" spans="1:17" x14ac:dyDescent="0.25">
      <c r="A24" s="12">
        <v>9</v>
      </c>
      <c r="B24" s="18"/>
      <c r="C24" s="16">
        <f>C23*(1+$B$3)</f>
        <v>59476.73018251139</v>
      </c>
      <c r="D24" s="27">
        <f>iWoDat!$D$28-iWoDarl2!$C$16</f>
        <v>64720</v>
      </c>
      <c r="E24" s="16">
        <f t="shared" si="3"/>
        <v>-12921.097220709547</v>
      </c>
      <c r="F24" s="16">
        <f t="shared" si="4"/>
        <v>755428.05693614355</v>
      </c>
      <c r="G24" s="28">
        <f>iWoDarl2!E28</f>
        <v>40109.760000000002</v>
      </c>
      <c r="H24" s="28">
        <f t="shared" si="8"/>
        <v>4168.0225704026316</v>
      </c>
      <c r="I24" s="28">
        <f t="shared" si="9"/>
        <v>7885.4481061671413</v>
      </c>
      <c r="J24" s="29">
        <f t="shared" si="10"/>
        <v>1941.6</v>
      </c>
      <c r="K24" s="25">
        <f t="shared" si="0"/>
        <v>13995.070676569774</v>
      </c>
      <c r="L24" s="24">
        <f t="shared" si="5"/>
        <v>10615.169323430229</v>
      </c>
      <c r="M24" s="31">
        <f t="shared" si="1"/>
        <v>0.73373097218961414</v>
      </c>
      <c r="N24" s="24">
        <f t="shared" si="6"/>
        <v>7788.678507637831</v>
      </c>
      <c r="O24" s="24">
        <f t="shared" si="7"/>
        <v>10615.169323430229</v>
      </c>
      <c r="P24" s="3">
        <f t="shared" si="2"/>
        <v>50724.929323430231</v>
      </c>
    </row>
    <row r="25" spans="1:17" x14ac:dyDescent="0.25">
      <c r="A25" s="12">
        <v>10</v>
      </c>
      <c r="B25" s="18"/>
      <c r="C25" s="19">
        <f>C24*(1+$B$3)</f>
        <v>60190.45094470153</v>
      </c>
      <c r="D25" s="27">
        <f>iWoDat!$D$28-iWoDarl2!$C$16</f>
        <v>64720</v>
      </c>
      <c r="E25" s="16">
        <f t="shared" si="3"/>
        <v>-12703.807005078066</v>
      </c>
      <c r="F25" s="16">
        <f t="shared" si="4"/>
        <v>742724.24993106548</v>
      </c>
      <c r="G25" s="28">
        <f>iWoDarl2!E29</f>
        <v>40109.760000000002</v>
      </c>
      <c r="H25" s="28">
        <f t="shared" si="8"/>
        <v>4230.5429089586705</v>
      </c>
      <c r="I25" s="28">
        <f t="shared" si="9"/>
        <v>8003.7298277596474</v>
      </c>
      <c r="J25" s="29">
        <f t="shared" si="10"/>
        <v>1941.6</v>
      </c>
      <c r="K25" s="25">
        <f t="shared" si="0"/>
        <v>14175.872736718318</v>
      </c>
      <c r="L25" s="24">
        <f t="shared" si="5"/>
        <v>10434.367263281682</v>
      </c>
      <c r="M25" s="31">
        <f t="shared" si="1"/>
        <v>0.70891881370977217</v>
      </c>
      <c r="N25" s="24">
        <f t="shared" si="6"/>
        <v>7397.1192620977317</v>
      </c>
      <c r="O25" s="24">
        <f t="shared" si="7"/>
        <v>10434.367263281682</v>
      </c>
      <c r="P25" s="3">
        <f t="shared" si="2"/>
        <v>50544.127263281684</v>
      </c>
    </row>
    <row r="26" spans="1:17" x14ac:dyDescent="0.25">
      <c r="A26" s="12">
        <v>11</v>
      </c>
      <c r="B26" s="18"/>
      <c r="C26" s="16">
        <f>C25*(1+$B$4)</f>
        <v>60551.593650369738</v>
      </c>
      <c r="D26" s="27">
        <f>iWoDat!$D$28-iWoDarl2!$C$16</f>
        <v>64720</v>
      </c>
      <c r="E26" s="16">
        <f t="shared" si="3"/>
        <v>-12490.170893815812</v>
      </c>
      <c r="F26" s="16">
        <f t="shared" si="4"/>
        <v>730234.07903724967</v>
      </c>
      <c r="G26" s="28">
        <f>iWoDarl2!E30</f>
        <v>39423.998772793369</v>
      </c>
      <c r="H26" s="28">
        <f t="shared" si="8"/>
        <v>4294.0010525930502</v>
      </c>
      <c r="I26" s="28">
        <f t="shared" si="9"/>
        <v>8123.7857751760412</v>
      </c>
      <c r="J26" s="29">
        <f t="shared" si="10"/>
        <v>1941.6</v>
      </c>
      <c r="K26" s="25">
        <f t="shared" si="0"/>
        <v>14359.386827769091</v>
      </c>
      <c r="L26" s="24">
        <f t="shared" si="5"/>
        <v>10936.614399437545</v>
      </c>
      <c r="M26" s="31">
        <f t="shared" si="1"/>
        <v>0.68494571372924851</v>
      </c>
      <c r="N26" s="24">
        <f t="shared" si="6"/>
        <v>7490.9871556043263</v>
      </c>
      <c r="O26" s="24">
        <f t="shared" si="7"/>
        <v>10936.614399437545</v>
      </c>
      <c r="P26" s="3">
        <f t="shared" si="2"/>
        <v>50360.613172230915</v>
      </c>
    </row>
    <row r="27" spans="1:17" x14ac:dyDescent="0.25">
      <c r="A27" s="12">
        <v>12</v>
      </c>
      <c r="B27" s="18"/>
      <c r="C27" s="16">
        <f>C26*(1+$B$4)</f>
        <v>60914.903212271958</v>
      </c>
      <c r="D27" s="27">
        <f>iWoDat!$D$28-iWoDarl2!$C$16</f>
        <v>64720</v>
      </c>
      <c r="E27" s="16">
        <f t="shared" si="3"/>
        <v>-12280.127436945681</v>
      </c>
      <c r="F27" s="16">
        <f t="shared" si="4"/>
        <v>717953.95160030399</v>
      </c>
      <c r="G27" s="28">
        <f>iWoDarl2!E31</f>
        <v>39423.998772793369</v>
      </c>
      <c r="H27" s="28">
        <f t="shared" si="8"/>
        <v>4358.4110683819454</v>
      </c>
      <c r="I27" s="28">
        <f t="shared" si="9"/>
        <v>8245.642561803681</v>
      </c>
      <c r="J27" s="29">
        <f t="shared" si="10"/>
        <v>1941.6</v>
      </c>
      <c r="K27" s="25">
        <f t="shared" si="0"/>
        <v>14545.653630185627</v>
      </c>
      <c r="L27" s="24">
        <f t="shared" si="5"/>
        <v>10750.347597021006</v>
      </c>
      <c r="M27" s="31">
        <f t="shared" si="1"/>
        <v>0.66178329828912896</v>
      </c>
      <c r="N27" s="24">
        <f t="shared" si="6"/>
        <v>7114.4004905111733</v>
      </c>
      <c r="O27" s="24">
        <f t="shared" si="7"/>
        <v>10750.347597021006</v>
      </c>
      <c r="P27" s="3">
        <f t="shared" si="2"/>
        <v>50174.346369814375</v>
      </c>
    </row>
    <row r="28" spans="1:17" x14ac:dyDescent="0.25">
      <c r="A28" s="12">
        <v>13</v>
      </c>
      <c r="B28" s="18"/>
      <c r="C28" s="16">
        <f>C27*(1+$B$4)</f>
        <v>61280.39263154559</v>
      </c>
      <c r="D28" s="27">
        <f>iWoDat!$D$28-iWoDarl2!$C$16</f>
        <v>64720</v>
      </c>
      <c r="E28" s="16">
        <f t="shared" si="3"/>
        <v>-12073.616217876901</v>
      </c>
      <c r="F28" s="16">
        <f t="shared" si="4"/>
        <v>705880.33538242709</v>
      </c>
      <c r="G28" s="28">
        <f>iWoDarl2!E32</f>
        <v>39423.998772793369</v>
      </c>
      <c r="H28" s="28">
        <f t="shared" si="8"/>
        <v>4423.7872344076741</v>
      </c>
      <c r="I28" s="28">
        <f t="shared" si="9"/>
        <v>8369.3272002307349</v>
      </c>
      <c r="J28" s="29">
        <f t="shared" si="10"/>
        <v>1941.6</v>
      </c>
      <c r="K28" s="25">
        <f t="shared" si="0"/>
        <v>14734.71443463841</v>
      </c>
      <c r="L28" s="24">
        <f t="shared" si="5"/>
        <v>10561.286792568222</v>
      </c>
      <c r="M28" s="31">
        <f t="shared" si="1"/>
        <v>0.63940415293635666</v>
      </c>
      <c r="N28" s="24">
        <f t="shared" si="6"/>
        <v>6752.9306355200151</v>
      </c>
      <c r="O28" s="24">
        <f t="shared" si="7"/>
        <v>10561.286792568222</v>
      </c>
      <c r="P28" s="3">
        <f t="shared" si="2"/>
        <v>49985.285565361592</v>
      </c>
    </row>
    <row r="29" spans="1:17" x14ac:dyDescent="0.25">
      <c r="A29" s="12">
        <v>14</v>
      </c>
      <c r="B29" s="18"/>
      <c r="C29" s="16">
        <f>C28*(1+$B$4)</f>
        <v>61648.074987334861</v>
      </c>
      <c r="D29" s="27">
        <f>iWoDat!$D$28-iWoDarl2!$C$16</f>
        <v>64720</v>
      </c>
      <c r="E29" s="16">
        <f t="shared" si="3"/>
        <v>-11870.577836025623</v>
      </c>
      <c r="F29" s="16">
        <f t="shared" si="4"/>
        <v>694009.75754640147</v>
      </c>
      <c r="G29" s="28">
        <f>iWoDarl2!E33</f>
        <v>39423.998772793369</v>
      </c>
      <c r="H29" s="28">
        <f t="shared" si="8"/>
        <v>4490.1440429237891</v>
      </c>
      <c r="I29" s="28">
        <f t="shared" si="9"/>
        <v>8494.8671082341953</v>
      </c>
      <c r="J29" s="29">
        <f t="shared" si="10"/>
        <v>1941.6</v>
      </c>
      <c r="K29" s="25">
        <f t="shared" si="0"/>
        <v>14926.611151157986</v>
      </c>
      <c r="L29" s="24">
        <f t="shared" si="5"/>
        <v>10369.390076048643</v>
      </c>
      <c r="M29" s="31">
        <f t="shared" si="1"/>
        <v>0.61778179027667302</v>
      </c>
      <c r="N29" s="24">
        <f t="shared" si="6"/>
        <v>6406.0203652584969</v>
      </c>
      <c r="O29" s="24">
        <f t="shared" si="7"/>
        <v>10369.390076048643</v>
      </c>
      <c r="P29" s="3">
        <f t="shared" si="2"/>
        <v>49793.388848842013</v>
      </c>
    </row>
    <row r="30" spans="1:17" x14ac:dyDescent="0.25">
      <c r="A30" s="12">
        <v>15</v>
      </c>
      <c r="B30" s="18"/>
      <c r="C30" s="19">
        <f>C29*(1+$B$4)</f>
        <v>62017.96343725887</v>
      </c>
      <c r="D30" s="27">
        <f>iWoDat!$D$28-iWoDarl2!$C$16</f>
        <v>64720</v>
      </c>
      <c r="E30" s="16">
        <f t="shared" si="3"/>
        <v>-11670.953889730619</v>
      </c>
      <c r="F30" s="16">
        <f t="shared" si="4"/>
        <v>682338.80365667085</v>
      </c>
      <c r="G30" s="28">
        <f>iWoDarl2!E34</f>
        <v>39423.998772793369</v>
      </c>
      <c r="H30" s="28">
        <f t="shared" si="8"/>
        <v>4557.4962035676454</v>
      </c>
      <c r="I30" s="28">
        <f t="shared" si="9"/>
        <v>8622.2901148577075</v>
      </c>
      <c r="J30" s="29">
        <f t="shared" si="10"/>
        <v>1941.6</v>
      </c>
      <c r="K30" s="25">
        <f t="shared" si="0"/>
        <v>15121.386318425353</v>
      </c>
      <c r="L30" s="24">
        <f t="shared" si="5"/>
        <v>10174.614908781281</v>
      </c>
      <c r="M30" s="31">
        <f t="shared" si="1"/>
        <v>0.59689061862480497</v>
      </c>
      <c r="N30" s="24">
        <f t="shared" si="6"/>
        <v>6073.1321871716227</v>
      </c>
      <c r="O30" s="24">
        <f t="shared" si="7"/>
        <v>10174.614908781281</v>
      </c>
      <c r="P30" s="3">
        <f t="shared" si="2"/>
        <v>49598.61368157465</v>
      </c>
    </row>
    <row r="31" spans="1:17" x14ac:dyDescent="0.25">
      <c r="A31" s="12">
        <v>16</v>
      </c>
      <c r="B31" s="18"/>
      <c r="C31" s="16">
        <f>C30*(1+$B$5)</f>
        <v>62017.96343725887</v>
      </c>
      <c r="D31" s="27">
        <f>iWoDat!$D$28-iWoDarl2!$C$16</f>
        <v>64720</v>
      </c>
      <c r="E31" s="16">
        <f t="shared" si="3"/>
        <v>-11474.68695945316</v>
      </c>
      <c r="F31" s="16">
        <f t="shared" si="4"/>
        <v>670864.11669721769</v>
      </c>
      <c r="G31" s="28">
        <f>iWoDarl2!E35</f>
        <v>39423.998772793369</v>
      </c>
      <c r="H31" s="28">
        <f t="shared" si="8"/>
        <v>4625.85864662116</v>
      </c>
      <c r="I31" s="28">
        <f t="shared" si="9"/>
        <v>8751.6244665805716</v>
      </c>
      <c r="J31" s="29">
        <f t="shared" si="10"/>
        <v>1941.6</v>
      </c>
      <c r="K31" s="25">
        <f t="shared" si="0"/>
        <v>15319.083113201732</v>
      </c>
      <c r="L31" s="24">
        <f t="shared" si="5"/>
        <v>9976.9181140048968</v>
      </c>
      <c r="M31" s="31">
        <f t="shared" si="1"/>
        <v>0.57670591171478747</v>
      </c>
      <c r="N31" s="24">
        <f t="shared" si="6"/>
        <v>5753.7476570409717</v>
      </c>
      <c r="O31" s="24">
        <f t="shared" si="7"/>
        <v>9976.9181140048968</v>
      </c>
      <c r="P31" s="3">
        <f t="shared" si="2"/>
        <v>49400.916886798266</v>
      </c>
    </row>
    <row r="32" spans="1:17" x14ac:dyDescent="0.25">
      <c r="A32" s="12">
        <v>17</v>
      </c>
      <c r="B32" s="18"/>
      <c r="C32" s="16">
        <f>C31*(1+$B$5)</f>
        <v>62017.96343725887</v>
      </c>
      <c r="D32" s="27">
        <f>iWoDat!$D$28-iWoDarl2!$C$16</f>
        <v>64720</v>
      </c>
      <c r="E32" s="16">
        <f t="shared" si="3"/>
        <v>-11281.720591262099</v>
      </c>
      <c r="F32" s="16">
        <f t="shared" si="4"/>
        <v>659582.39610595559</v>
      </c>
      <c r="G32" s="28">
        <f>iWoDarl2!E36</f>
        <v>39423.998772793369</v>
      </c>
      <c r="H32" s="28">
        <f t="shared" si="8"/>
        <v>4695.2465263204767</v>
      </c>
      <c r="I32" s="28">
        <f t="shared" si="9"/>
        <v>8882.8988335792801</v>
      </c>
      <c r="J32" s="29">
        <f t="shared" si="10"/>
        <v>1941.6</v>
      </c>
      <c r="K32" s="25">
        <f t="shared" si="0"/>
        <v>15519.745359899758</v>
      </c>
      <c r="L32" s="24">
        <f t="shared" si="5"/>
        <v>9776.2558673068706</v>
      </c>
      <c r="M32" s="31">
        <f t="shared" si="1"/>
        <v>0.55720377943457733</v>
      </c>
      <c r="N32" s="24">
        <f t="shared" si="6"/>
        <v>5447.3667179828499</v>
      </c>
      <c r="O32" s="24">
        <f t="shared" si="7"/>
        <v>9776.2558673068706</v>
      </c>
      <c r="P32" s="3">
        <f t="shared" si="2"/>
        <v>49200.25464010024</v>
      </c>
    </row>
    <row r="33" spans="1:16" x14ac:dyDescent="0.25">
      <c r="A33" s="12">
        <v>18</v>
      </c>
      <c r="B33" s="18"/>
      <c r="C33" s="16">
        <f>C32*(1+$B$5)</f>
        <v>62017.96343725887</v>
      </c>
      <c r="D33" s="27">
        <f>iWoDat!$D$28-iWoDarl2!$C$16</f>
        <v>64720</v>
      </c>
      <c r="E33" s="16">
        <f t="shared" si="3"/>
        <v>-11091.999280594988</v>
      </c>
      <c r="F33" s="16">
        <f t="shared" si="4"/>
        <v>648490.3968253606</v>
      </c>
      <c r="G33" s="28">
        <f>iWoDarl2!E37</f>
        <v>39423.998772793362</v>
      </c>
      <c r="H33" s="28">
        <f t="shared" si="8"/>
        <v>4765.6752242152834</v>
      </c>
      <c r="I33" s="28">
        <f t="shared" si="9"/>
        <v>9016.142316082969</v>
      </c>
      <c r="J33" s="29">
        <f t="shared" si="10"/>
        <v>1941.6</v>
      </c>
      <c r="K33" s="25">
        <f t="shared" si="0"/>
        <v>15723.417540298253</v>
      </c>
      <c r="L33" s="24">
        <f t="shared" si="5"/>
        <v>9572.5836869083796</v>
      </c>
      <c r="M33" s="31">
        <f t="shared" si="1"/>
        <v>0.53836113955031628</v>
      </c>
      <c r="N33" s="24">
        <f t="shared" si="6"/>
        <v>5153.5070621247633</v>
      </c>
      <c r="O33" s="24">
        <f t="shared" si="7"/>
        <v>9572.5836869083796</v>
      </c>
      <c r="P33" s="3">
        <f t="shared" si="2"/>
        <v>48996.582459701742</v>
      </c>
    </row>
    <row r="34" spans="1:16" x14ac:dyDescent="0.25">
      <c r="A34" s="12">
        <v>19</v>
      </c>
      <c r="B34" s="18"/>
      <c r="C34" s="16">
        <f>C33*(1+$B$5)</f>
        <v>62017.96343725887</v>
      </c>
      <c r="D34" s="27">
        <f>iWoDat!$D$28-iWoDarl2!$C$16</f>
        <v>64720</v>
      </c>
      <c r="E34" s="16">
        <f t="shared" si="3"/>
        <v>-10905.468456293107</v>
      </c>
      <c r="F34" s="16">
        <f t="shared" si="4"/>
        <v>637584.92836906749</v>
      </c>
      <c r="G34" s="28">
        <f>iWoDarl2!E38</f>
        <v>39423.998772793369</v>
      </c>
      <c r="H34" s="28">
        <f t="shared" si="8"/>
        <v>4837.1603525785122</v>
      </c>
      <c r="I34" s="28">
        <f t="shared" si="9"/>
        <v>9151.3844508242128</v>
      </c>
      <c r="J34" s="29">
        <f t="shared" si="10"/>
        <v>1941.6</v>
      </c>
      <c r="K34" s="25">
        <f t="shared" si="0"/>
        <v>15930.144803402725</v>
      </c>
      <c r="L34" s="24">
        <f t="shared" si="5"/>
        <v>9365.8564238039107</v>
      </c>
      <c r="M34" s="31">
        <f t="shared" si="1"/>
        <v>0.52015569038677911</v>
      </c>
      <c r="N34" s="24">
        <f t="shared" si="6"/>
        <v>4871.7035141871729</v>
      </c>
      <c r="O34" s="24">
        <f t="shared" si="7"/>
        <v>9365.8564238039107</v>
      </c>
      <c r="P34" s="3">
        <f t="shared" si="2"/>
        <v>48789.85519659728</v>
      </c>
    </row>
    <row r="35" spans="1:16" x14ac:dyDescent="0.25">
      <c r="A35" s="12">
        <v>20</v>
      </c>
      <c r="B35" s="23">
        <f>F35</f>
        <v>626862.85390416335</v>
      </c>
      <c r="C35" s="16">
        <f>C34*(1+$B$5)</f>
        <v>62017.96343725887</v>
      </c>
      <c r="D35" s="27">
        <f>iWoDat!$D$28-iWoDarl2!$C$16</f>
        <v>64720</v>
      </c>
      <c r="E35" s="16">
        <f t="shared" si="3"/>
        <v>-10722.074464904144</v>
      </c>
      <c r="F35" s="23">
        <f t="shared" si="4"/>
        <v>626862.85390416335</v>
      </c>
      <c r="G35" s="28">
        <f>iWoDarl2!E39</f>
        <v>39423.998772793369</v>
      </c>
      <c r="H35" s="28">
        <f t="shared" si="8"/>
        <v>4909.717757867189</v>
      </c>
      <c r="I35" s="65">
        <f t="shared" si="9"/>
        <v>9288.6552175865745</v>
      </c>
      <c r="J35" s="29">
        <f t="shared" si="10"/>
        <v>1941.6</v>
      </c>
      <c r="K35" s="25">
        <f t="shared" si="0"/>
        <v>16139.972975453764</v>
      </c>
      <c r="L35" s="24">
        <f t="shared" si="5"/>
        <v>9156.0282517528685</v>
      </c>
      <c r="M35" s="31">
        <f t="shared" si="1"/>
        <v>0.50256588443167061</v>
      </c>
      <c r="N35" s="32">
        <f>L35*M35+B35*M35</f>
        <v>319641.39202593052</v>
      </c>
      <c r="O35" s="32">
        <f>L35+B35</f>
        <v>636018.88215591619</v>
      </c>
      <c r="P35" s="3">
        <f t="shared" si="2"/>
        <v>675442.88092870952</v>
      </c>
    </row>
    <row r="36" spans="1:16" x14ac:dyDescent="0.25">
      <c r="H36" s="20"/>
      <c r="I36" s="21"/>
      <c r="J36" s="20"/>
      <c r="K36" s="20"/>
      <c r="L36" s="26"/>
      <c r="M36" s="33"/>
      <c r="N36" s="34">
        <f>SUM(N15:N35)</f>
        <v>328197.60227116285</v>
      </c>
      <c r="O36" s="35">
        <f>IRR(O15:O35)</f>
        <v>0.11644561030584843</v>
      </c>
    </row>
    <row r="38" spans="1:16" x14ac:dyDescent="0.25">
      <c r="B38" s="22"/>
      <c r="C38" s="22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10" zoomScale="125" workbookViewId="0">
      <selection activeCell="R12" sqref="R12"/>
    </sheetView>
  </sheetViews>
  <sheetFormatPr baseColWidth="10" defaultRowHeight="13.2" x14ac:dyDescent="0.25"/>
  <cols>
    <col min="1" max="1" width="7.88671875" bestFit="1" customWidth="1"/>
    <col min="2" max="2" width="10.109375" customWidth="1"/>
    <col min="3" max="3" width="6.6640625" customWidth="1"/>
    <col min="4" max="4" width="7.44140625" customWidth="1"/>
    <col min="5" max="5" width="6.6640625" customWidth="1"/>
    <col min="6" max="6" width="7.33203125" customWidth="1"/>
    <col min="7" max="7" width="8.33203125" customWidth="1"/>
    <col min="8" max="8" width="9.21875" customWidth="1"/>
    <col min="9" max="9" width="6.33203125" customWidth="1"/>
    <col min="10" max="10" width="7.88671875" customWidth="1"/>
    <col min="11" max="11" width="8.6640625" customWidth="1"/>
    <col min="12" max="12" width="6.33203125" customWidth="1"/>
    <col min="13" max="13" width="7.88671875" customWidth="1"/>
    <col min="14" max="14" width="8.88671875" customWidth="1"/>
    <col min="15" max="15" width="7.33203125" customWidth="1"/>
    <col min="16" max="16" width="8.33203125" customWidth="1"/>
  </cols>
  <sheetData>
    <row r="1" spans="1:16" x14ac:dyDescent="0.25">
      <c r="A1" s="1" t="s">
        <v>68</v>
      </c>
      <c r="B1" s="14">
        <v>3.5000000000000003E-2</v>
      </c>
    </row>
    <row r="2" spans="1:16" x14ac:dyDescent="0.25">
      <c r="A2" s="1" t="s">
        <v>81</v>
      </c>
      <c r="B2" s="14">
        <v>0.35</v>
      </c>
    </row>
    <row r="3" spans="1:16" x14ac:dyDescent="0.25">
      <c r="B3" s="14"/>
    </row>
    <row r="4" spans="1:16" ht="15.6" x14ac:dyDescent="0.35">
      <c r="A4" s="11" t="s">
        <v>27</v>
      </c>
      <c r="B4" s="11" t="s">
        <v>71</v>
      </c>
      <c r="C4" s="11" t="s">
        <v>2</v>
      </c>
      <c r="D4" s="11" t="s">
        <v>50</v>
      </c>
      <c r="E4" s="11" t="s">
        <v>72</v>
      </c>
      <c r="F4" s="11" t="s">
        <v>64</v>
      </c>
      <c r="G4" s="11" t="s">
        <v>78</v>
      </c>
      <c r="H4" s="46" t="s">
        <v>75</v>
      </c>
      <c r="I4" s="46" t="s">
        <v>80</v>
      </c>
      <c r="J4" s="46" t="s">
        <v>73</v>
      </c>
      <c r="K4" s="42" t="s">
        <v>74</v>
      </c>
      <c r="L4" s="42" t="s">
        <v>80</v>
      </c>
      <c r="M4" s="42" t="s">
        <v>73</v>
      </c>
      <c r="N4" s="39" t="s">
        <v>76</v>
      </c>
      <c r="O4" s="39" t="s">
        <v>77</v>
      </c>
      <c r="P4" s="39" t="s">
        <v>79</v>
      </c>
    </row>
    <row r="5" spans="1:16" x14ac:dyDescent="0.25">
      <c r="A5" s="12">
        <v>0</v>
      </c>
      <c r="B5" s="16">
        <f>iWoDat!$D$16*(-1)</f>
        <v>-240000</v>
      </c>
      <c r="C5" s="16"/>
      <c r="D5" s="16"/>
      <c r="E5" s="16"/>
      <c r="F5" s="16">
        <f>SUM(E5:E5)</f>
        <v>0</v>
      </c>
      <c r="G5" s="37">
        <f>B5</f>
        <v>-240000</v>
      </c>
      <c r="H5" s="47"/>
      <c r="I5" s="48"/>
      <c r="J5" s="49"/>
      <c r="K5" s="44"/>
      <c r="L5" s="44"/>
      <c r="M5" s="44"/>
      <c r="N5" s="41"/>
      <c r="O5" s="41"/>
      <c r="P5" s="54">
        <f>B5</f>
        <v>-240000</v>
      </c>
    </row>
    <row r="6" spans="1:16" x14ac:dyDescent="0.25">
      <c r="A6" s="12">
        <v>1</v>
      </c>
      <c r="B6" s="18"/>
      <c r="C6" s="27">
        <f>iWoDat!$D$28</f>
        <v>72800</v>
      </c>
      <c r="D6" s="28">
        <f>iWoDat!$D$21</f>
        <v>39140.288</v>
      </c>
      <c r="E6" s="36">
        <f>iWoDarl!C11</f>
        <v>12800</v>
      </c>
      <c r="F6" s="25">
        <f>'iWoTab EK'!K16</f>
        <v>12884</v>
      </c>
      <c r="G6" s="38">
        <f t="shared" ref="G6:G24" si="0">C6-D6-F6</f>
        <v>20775.712</v>
      </c>
      <c r="H6" s="47">
        <f>iWoDat!$D$3*iWoDat!$D$6</f>
        <v>200000</v>
      </c>
      <c r="I6" s="50">
        <v>2.5</v>
      </c>
      <c r="J6" s="51">
        <f>$H$6*I6/100</f>
        <v>5000</v>
      </c>
      <c r="K6" s="43">
        <f>iWoDat!$D$3*iWoDat!$D$13</f>
        <v>640000</v>
      </c>
      <c r="L6" s="53">
        <v>9</v>
      </c>
      <c r="M6" s="45">
        <f>$K$6*L6/100</f>
        <v>57600</v>
      </c>
      <c r="N6" s="40">
        <f>C6-E6-F6-J6-M6</f>
        <v>-15484</v>
      </c>
      <c r="O6" s="40">
        <f>N6*$B$2*(-1)</f>
        <v>5419.4</v>
      </c>
      <c r="P6" s="54">
        <f>G6+O6</f>
        <v>26195.112000000001</v>
      </c>
    </row>
    <row r="7" spans="1:16" x14ac:dyDescent="0.25">
      <c r="A7" s="12">
        <v>2</v>
      </c>
      <c r="B7" s="18"/>
      <c r="C7" s="27">
        <f>iWoDat!$D$28</f>
        <v>72800</v>
      </c>
      <c r="D7" s="28">
        <f>iWoDat!$D$21</f>
        <v>39140.288</v>
      </c>
      <c r="E7" s="36">
        <f>iWoDarl!C12</f>
        <v>12273.194240000001</v>
      </c>
      <c r="F7" s="25">
        <f>'iWoTab EK'!K17</f>
        <v>13044.499999999998</v>
      </c>
      <c r="G7" s="38">
        <f t="shared" si="0"/>
        <v>20615.212</v>
      </c>
      <c r="H7" s="52">
        <f>H6-J6</f>
        <v>195000</v>
      </c>
      <c r="I7" s="50">
        <v>2.5</v>
      </c>
      <c r="J7" s="51">
        <f>$H$6*I7/100</f>
        <v>5000</v>
      </c>
      <c r="K7" s="43">
        <f>K6-M6</f>
        <v>582400</v>
      </c>
      <c r="L7" s="53">
        <v>9</v>
      </c>
      <c r="M7" s="45">
        <f t="shared" ref="M7:M25" si="1">$K$6*L7/100</f>
        <v>57600</v>
      </c>
      <c r="N7" s="40">
        <f t="shared" ref="N7:N25" si="2">C7-E7-F7-J7-M7</f>
        <v>-15117.694239999997</v>
      </c>
      <c r="O7" s="40">
        <f t="shared" ref="O7:O25" si="3">N7*$B$2*(-1)</f>
        <v>5291.1929839999984</v>
      </c>
      <c r="P7" s="54">
        <f t="shared" ref="P7:P25" si="4">G7+O7</f>
        <v>25906.404983999997</v>
      </c>
    </row>
    <row r="8" spans="1:16" x14ac:dyDescent="0.25">
      <c r="A8" s="12">
        <v>3</v>
      </c>
      <c r="B8" s="18"/>
      <c r="C8" s="27">
        <f>iWoDat!$D$28</f>
        <v>72800</v>
      </c>
      <c r="D8" s="28">
        <f>iWoDat!$D$21</f>
        <v>39140.288</v>
      </c>
      <c r="E8" s="36">
        <f>iWoDarl!C13</f>
        <v>11735.852364800003</v>
      </c>
      <c r="F8" s="25">
        <f>'iWoTab EK'!K18</f>
        <v>13207.407499999998</v>
      </c>
      <c r="G8" s="38">
        <f t="shared" si="0"/>
        <v>20452.304500000002</v>
      </c>
      <c r="H8" s="52">
        <f t="shared" ref="H8:H25" si="5">H7-J7</f>
        <v>190000</v>
      </c>
      <c r="I8" s="50">
        <v>2.5</v>
      </c>
      <c r="J8" s="51">
        <f t="shared" ref="J8:J25" si="6">$H$6*I8/100</f>
        <v>5000</v>
      </c>
      <c r="K8" s="43">
        <f t="shared" ref="K8:K25" si="7">K7-M7</f>
        <v>524800</v>
      </c>
      <c r="L8" s="53">
        <v>9</v>
      </c>
      <c r="M8" s="45">
        <f t="shared" si="1"/>
        <v>57600</v>
      </c>
      <c r="N8" s="40">
        <f t="shared" si="2"/>
        <v>-14743.259864799998</v>
      </c>
      <c r="O8" s="40">
        <f t="shared" si="3"/>
        <v>5160.1409526799989</v>
      </c>
      <c r="P8" s="54">
        <f t="shared" si="4"/>
        <v>25612.44545268</v>
      </c>
    </row>
    <row r="9" spans="1:16" x14ac:dyDescent="0.25">
      <c r="A9" s="12">
        <v>4</v>
      </c>
      <c r="B9" s="18"/>
      <c r="C9" s="27">
        <f>iWoDat!$D$28</f>
        <v>72800</v>
      </c>
      <c r="D9" s="28">
        <f>iWoDat!$D$21</f>
        <v>39140.288</v>
      </c>
      <c r="E9" s="36">
        <f>iWoDarl!C14</f>
        <v>11187.763652096002</v>
      </c>
      <c r="F9" s="25">
        <f>'iWoTab EK'!K19</f>
        <v>13372.758612499996</v>
      </c>
      <c r="G9" s="38">
        <f t="shared" si="0"/>
        <v>20286.953387500005</v>
      </c>
      <c r="H9" s="52">
        <f t="shared" si="5"/>
        <v>185000</v>
      </c>
      <c r="I9" s="50">
        <v>2.5</v>
      </c>
      <c r="J9" s="51">
        <f t="shared" si="6"/>
        <v>5000</v>
      </c>
      <c r="K9" s="43">
        <f t="shared" si="7"/>
        <v>467200</v>
      </c>
      <c r="L9" s="53">
        <v>9</v>
      </c>
      <c r="M9" s="45">
        <f t="shared" si="1"/>
        <v>57600</v>
      </c>
      <c r="N9" s="40">
        <f t="shared" si="2"/>
        <v>-14360.522264595995</v>
      </c>
      <c r="O9" s="40">
        <f t="shared" si="3"/>
        <v>5026.182792608598</v>
      </c>
      <c r="P9" s="54">
        <f t="shared" si="4"/>
        <v>25313.136180108602</v>
      </c>
    </row>
    <row r="10" spans="1:16" x14ac:dyDescent="0.25">
      <c r="A10" s="12">
        <v>5</v>
      </c>
      <c r="B10" s="18"/>
      <c r="C10" s="27">
        <f>iWoDat!$D$28</f>
        <v>72800</v>
      </c>
      <c r="D10" s="28">
        <f>iWoDat!$D$21</f>
        <v>39140.288</v>
      </c>
      <c r="E10" s="36">
        <f>iWoDarl!C15</f>
        <v>10628.713165137922</v>
      </c>
      <c r="F10" s="25">
        <f>'iWoTab EK'!K20</f>
        <v>13540.589991687495</v>
      </c>
      <c r="G10" s="38">
        <f t="shared" si="0"/>
        <v>20119.122008312504</v>
      </c>
      <c r="H10" s="52">
        <f t="shared" si="5"/>
        <v>180000</v>
      </c>
      <c r="I10" s="50">
        <v>2.5</v>
      </c>
      <c r="J10" s="51">
        <f t="shared" si="6"/>
        <v>5000</v>
      </c>
      <c r="K10" s="43">
        <f t="shared" si="7"/>
        <v>409600</v>
      </c>
      <c r="L10" s="53">
        <v>9</v>
      </c>
      <c r="M10" s="45">
        <f t="shared" si="1"/>
        <v>57600</v>
      </c>
      <c r="N10" s="40">
        <f t="shared" si="2"/>
        <v>-13969.303156825423</v>
      </c>
      <c r="O10" s="40">
        <f t="shared" si="3"/>
        <v>4889.2561048888974</v>
      </c>
      <c r="P10" s="54">
        <f t="shared" si="4"/>
        <v>25008.378113201401</v>
      </c>
    </row>
    <row r="11" spans="1:16" x14ac:dyDescent="0.25">
      <c r="A11" s="12">
        <v>6</v>
      </c>
      <c r="B11" s="18"/>
      <c r="C11" s="27">
        <f>iWoDat!$D$28</f>
        <v>72800</v>
      </c>
      <c r="D11" s="28">
        <f>iWoDat!$D$21</f>
        <v>39140.288</v>
      </c>
      <c r="E11" s="36">
        <f>iWoDarl!C16</f>
        <v>10058.48166844068</v>
      </c>
      <c r="F11" s="25">
        <f>'iWoTab EK'!K21</f>
        <v>13710.938841562805</v>
      </c>
      <c r="G11" s="38">
        <f t="shared" si="0"/>
        <v>19948.773158437194</v>
      </c>
      <c r="H11" s="52">
        <f t="shared" si="5"/>
        <v>175000</v>
      </c>
      <c r="I11" s="50">
        <v>2.5</v>
      </c>
      <c r="J11" s="51">
        <f t="shared" si="6"/>
        <v>5000</v>
      </c>
      <c r="K11" s="43">
        <f t="shared" si="7"/>
        <v>352000</v>
      </c>
      <c r="L11" s="53">
        <v>9</v>
      </c>
      <c r="M11" s="45">
        <f t="shared" si="1"/>
        <v>57600</v>
      </c>
      <c r="N11" s="40">
        <f t="shared" si="2"/>
        <v>-13569.420510003489</v>
      </c>
      <c r="O11" s="40">
        <f t="shared" si="3"/>
        <v>4749.2971785012205</v>
      </c>
      <c r="P11" s="54">
        <f t="shared" si="4"/>
        <v>24698.070336938414</v>
      </c>
    </row>
    <row r="12" spans="1:16" x14ac:dyDescent="0.25">
      <c r="A12" s="12">
        <v>7</v>
      </c>
      <c r="B12" s="18"/>
      <c r="C12" s="27">
        <f>iWoDat!$D$28</f>
        <v>72800</v>
      </c>
      <c r="D12" s="28">
        <f>iWoDat!$D$21</f>
        <v>39140.288</v>
      </c>
      <c r="E12" s="36">
        <f>iWoDarl!C17</f>
        <v>9476.8455418094927</v>
      </c>
      <c r="F12" s="25">
        <f>'iWoTab EK'!K22</f>
        <v>13883.842924186247</v>
      </c>
      <c r="G12" s="38">
        <f t="shared" si="0"/>
        <v>19775.869075813753</v>
      </c>
      <c r="H12" s="52">
        <f t="shared" si="5"/>
        <v>170000</v>
      </c>
      <c r="I12" s="50">
        <v>2.5</v>
      </c>
      <c r="J12" s="51">
        <f t="shared" si="6"/>
        <v>5000</v>
      </c>
      <c r="K12" s="43">
        <f t="shared" si="7"/>
        <v>294400</v>
      </c>
      <c r="L12" s="53">
        <v>9</v>
      </c>
      <c r="M12" s="45">
        <f t="shared" si="1"/>
        <v>57600</v>
      </c>
      <c r="N12" s="40">
        <f t="shared" si="2"/>
        <v>-13160.688465995743</v>
      </c>
      <c r="O12" s="40">
        <f t="shared" si="3"/>
        <v>4606.2409630985094</v>
      </c>
      <c r="P12" s="54">
        <f t="shared" si="4"/>
        <v>24382.110038912262</v>
      </c>
    </row>
    <row r="13" spans="1:16" x14ac:dyDescent="0.25">
      <c r="A13" s="12">
        <v>8</v>
      </c>
      <c r="B13" s="18"/>
      <c r="C13" s="27">
        <f>iWoDat!$D$28</f>
        <v>72800</v>
      </c>
      <c r="D13" s="28">
        <f>iWoDat!$D$21</f>
        <v>39140.288</v>
      </c>
      <c r="E13" s="36">
        <f>iWoDarl!C18</f>
        <v>8883.5766926456836</v>
      </c>
      <c r="F13" s="25">
        <f>'iWoTab EK'!K23</f>
        <v>14059.34056804904</v>
      </c>
      <c r="G13" s="38">
        <f t="shared" si="0"/>
        <v>19600.37143195096</v>
      </c>
      <c r="H13" s="52">
        <f t="shared" si="5"/>
        <v>165000</v>
      </c>
      <c r="I13" s="50">
        <v>2.5</v>
      </c>
      <c r="J13" s="51">
        <f t="shared" si="6"/>
        <v>5000</v>
      </c>
      <c r="K13" s="43">
        <f t="shared" si="7"/>
        <v>236800</v>
      </c>
      <c r="L13" s="53">
        <v>9</v>
      </c>
      <c r="M13" s="45">
        <f t="shared" si="1"/>
        <v>57600</v>
      </c>
      <c r="N13" s="40">
        <f t="shared" si="2"/>
        <v>-12742.917260694725</v>
      </c>
      <c r="O13" s="40">
        <f t="shared" si="3"/>
        <v>4460.0210412431534</v>
      </c>
      <c r="P13" s="54">
        <f t="shared" si="4"/>
        <v>24060.392473194115</v>
      </c>
    </row>
    <row r="14" spans="1:16" x14ac:dyDescent="0.25">
      <c r="A14" s="12">
        <v>9</v>
      </c>
      <c r="B14" s="18"/>
      <c r="C14" s="27">
        <f>iWoDat!$D$28</f>
        <v>72800</v>
      </c>
      <c r="D14" s="28">
        <f>iWoDat!$D$21</f>
        <v>39140.288</v>
      </c>
      <c r="E14" s="36">
        <f>iWoDarl!C19</f>
        <v>8278.4424664985963</v>
      </c>
      <c r="F14" s="25">
        <f>'iWoTab EK'!K24</f>
        <v>14237.470676569774</v>
      </c>
      <c r="G14" s="38">
        <f t="shared" si="0"/>
        <v>19422.241323430226</v>
      </c>
      <c r="H14" s="52">
        <f t="shared" si="5"/>
        <v>160000</v>
      </c>
      <c r="I14" s="50">
        <v>2.5</v>
      </c>
      <c r="J14" s="51">
        <f t="shared" si="6"/>
        <v>5000</v>
      </c>
      <c r="K14" s="43">
        <f t="shared" si="7"/>
        <v>179200</v>
      </c>
      <c r="L14" s="53">
        <v>7</v>
      </c>
      <c r="M14" s="45">
        <f t="shared" si="1"/>
        <v>44800</v>
      </c>
      <c r="N14" s="40">
        <f t="shared" si="2"/>
        <v>484.08685693162261</v>
      </c>
      <c r="O14" s="40">
        <f t="shared" si="3"/>
        <v>-169.43039992606791</v>
      </c>
      <c r="P14" s="54">
        <f t="shared" si="4"/>
        <v>19252.810923504159</v>
      </c>
    </row>
    <row r="15" spans="1:16" x14ac:dyDescent="0.25">
      <c r="A15" s="12">
        <v>10</v>
      </c>
      <c r="B15" s="18"/>
      <c r="C15" s="27">
        <f>iWoDat!$D$28</f>
        <v>72800</v>
      </c>
      <c r="D15" s="28">
        <f>iWoDat!$D$21</f>
        <v>39140.288</v>
      </c>
      <c r="E15" s="36">
        <f>iWoDarl!C20</f>
        <v>7661.2055558285683</v>
      </c>
      <c r="F15" s="25">
        <f>'iWoTab EK'!K25</f>
        <v>14418.272736718318</v>
      </c>
      <c r="G15" s="38">
        <f t="shared" si="0"/>
        <v>19241.439263281682</v>
      </c>
      <c r="H15" s="52">
        <f t="shared" si="5"/>
        <v>155000</v>
      </c>
      <c r="I15" s="50">
        <v>2.5</v>
      </c>
      <c r="J15" s="51">
        <f t="shared" si="6"/>
        <v>5000</v>
      </c>
      <c r="K15" s="43">
        <f t="shared" si="7"/>
        <v>134400</v>
      </c>
      <c r="L15" s="53">
        <v>7</v>
      </c>
      <c r="M15" s="45">
        <f t="shared" si="1"/>
        <v>44800</v>
      </c>
      <c r="N15" s="40">
        <f t="shared" si="2"/>
        <v>920.52170745311741</v>
      </c>
      <c r="O15" s="40">
        <f t="shared" si="3"/>
        <v>-322.1825976085911</v>
      </c>
      <c r="P15" s="54">
        <f t="shared" si="4"/>
        <v>18919.256665673092</v>
      </c>
    </row>
    <row r="16" spans="1:16" x14ac:dyDescent="0.25">
      <c r="A16" s="12">
        <v>11</v>
      </c>
      <c r="B16" s="18"/>
      <c r="C16" s="27">
        <f>iWoDat!$D$28</f>
        <v>72800</v>
      </c>
      <c r="D16" s="28">
        <f>iWoDat!$D$21</f>
        <v>39140.288</v>
      </c>
      <c r="E16" s="36">
        <f>iWoDarl!C21</f>
        <v>7031.6239069451403</v>
      </c>
      <c r="F16" s="25">
        <f>'iWoTab EK'!K26</f>
        <v>14601.78682776909</v>
      </c>
      <c r="G16" s="38">
        <f t="shared" si="0"/>
        <v>19057.925172230909</v>
      </c>
      <c r="H16" s="52">
        <f t="shared" si="5"/>
        <v>150000</v>
      </c>
      <c r="I16" s="50">
        <v>2.5</v>
      </c>
      <c r="J16" s="51">
        <f t="shared" si="6"/>
        <v>5000</v>
      </c>
      <c r="K16" s="43">
        <f t="shared" si="7"/>
        <v>89600</v>
      </c>
      <c r="L16" s="53">
        <v>7</v>
      </c>
      <c r="M16" s="45">
        <f t="shared" si="1"/>
        <v>44800</v>
      </c>
      <c r="N16" s="40">
        <f t="shared" si="2"/>
        <v>1366.5892652857729</v>
      </c>
      <c r="O16" s="40">
        <f t="shared" si="3"/>
        <v>-478.30624285002045</v>
      </c>
      <c r="P16" s="54">
        <f t="shared" si="4"/>
        <v>18579.618929380889</v>
      </c>
    </row>
    <row r="17" spans="1:16" x14ac:dyDescent="0.25">
      <c r="A17" s="12">
        <v>12</v>
      </c>
      <c r="B17" s="18"/>
      <c r="C17" s="27">
        <f>iWoDat!$D$28</f>
        <v>72800</v>
      </c>
      <c r="D17" s="28">
        <f>iWoDat!$D$21</f>
        <v>39140.288</v>
      </c>
      <c r="E17" s="36">
        <f>iWoDarl!C22</f>
        <v>6389.4506250840423</v>
      </c>
      <c r="F17" s="25">
        <f>'iWoTab EK'!K27</f>
        <v>14788.053630185626</v>
      </c>
      <c r="G17" s="38">
        <f t="shared" si="0"/>
        <v>18871.658369814373</v>
      </c>
      <c r="H17" s="52">
        <f t="shared" si="5"/>
        <v>145000</v>
      </c>
      <c r="I17" s="50">
        <v>2.5</v>
      </c>
      <c r="J17" s="51">
        <f t="shared" si="6"/>
        <v>5000</v>
      </c>
      <c r="K17" s="43">
        <f t="shared" si="7"/>
        <v>44800</v>
      </c>
      <c r="L17" s="53">
        <v>7</v>
      </c>
      <c r="M17" s="45">
        <f t="shared" si="1"/>
        <v>44800</v>
      </c>
      <c r="N17" s="40">
        <f t="shared" si="2"/>
        <v>1822.4957447303241</v>
      </c>
      <c r="O17" s="40">
        <f t="shared" si="3"/>
        <v>-637.87351065561336</v>
      </c>
      <c r="P17" s="54">
        <f t="shared" si="4"/>
        <v>18233.784859158761</v>
      </c>
    </row>
    <row r="18" spans="1:16" x14ac:dyDescent="0.25">
      <c r="A18" s="12">
        <v>13</v>
      </c>
      <c r="B18" s="18"/>
      <c r="C18" s="27">
        <f>iWoDat!$D$28</f>
        <v>72800</v>
      </c>
      <c r="D18" s="28">
        <f>iWoDat!$D$21</f>
        <v>39140.288</v>
      </c>
      <c r="E18" s="36">
        <f>iWoDarl!C23</f>
        <v>5734.4338775857232</v>
      </c>
      <c r="F18" s="25">
        <f>'iWoTab EK'!K28</f>
        <v>14977.11443463841</v>
      </c>
      <c r="G18" s="38">
        <f t="shared" si="0"/>
        <v>18682.59756536159</v>
      </c>
      <c r="H18" s="52">
        <f t="shared" si="5"/>
        <v>140000</v>
      </c>
      <c r="I18" s="50">
        <v>2.5</v>
      </c>
      <c r="J18" s="51">
        <f t="shared" si="6"/>
        <v>5000</v>
      </c>
      <c r="K18" s="43">
        <f t="shared" si="7"/>
        <v>0</v>
      </c>
      <c r="L18" s="53">
        <v>0</v>
      </c>
      <c r="M18" s="45">
        <f t="shared" si="1"/>
        <v>0</v>
      </c>
      <c r="N18" s="40">
        <f t="shared" si="2"/>
        <v>47088.451687775872</v>
      </c>
      <c r="O18" s="40">
        <f t="shared" si="3"/>
        <v>-16480.958090721553</v>
      </c>
      <c r="P18" s="54">
        <f t="shared" si="4"/>
        <v>2201.6394746400365</v>
      </c>
    </row>
    <row r="19" spans="1:16" x14ac:dyDescent="0.25">
      <c r="A19" s="12">
        <v>14</v>
      </c>
      <c r="B19" s="18"/>
      <c r="C19" s="27">
        <f>iWoDat!$D$28</f>
        <v>72800</v>
      </c>
      <c r="D19" s="28">
        <f>iWoDat!$D$21</f>
        <v>39140.288</v>
      </c>
      <c r="E19" s="36">
        <f>iWoDarl!C24</f>
        <v>5066.316795137438</v>
      </c>
      <c r="F19" s="25">
        <f>'iWoTab EK'!K29</f>
        <v>15169.011151157985</v>
      </c>
      <c r="G19" s="38">
        <f t="shared" si="0"/>
        <v>18490.700848842014</v>
      </c>
      <c r="H19" s="52">
        <f t="shared" si="5"/>
        <v>135000</v>
      </c>
      <c r="I19" s="50">
        <v>2.5</v>
      </c>
      <c r="J19" s="51">
        <f t="shared" si="6"/>
        <v>5000</v>
      </c>
      <c r="K19" s="43">
        <f t="shared" si="7"/>
        <v>0</v>
      </c>
      <c r="L19" s="53">
        <v>0</v>
      </c>
      <c r="M19" s="45">
        <f t="shared" si="1"/>
        <v>0</v>
      </c>
      <c r="N19" s="40">
        <f t="shared" si="2"/>
        <v>47564.672053704577</v>
      </c>
      <c r="O19" s="40">
        <f t="shared" si="3"/>
        <v>-16647.6352187966</v>
      </c>
      <c r="P19" s="54">
        <f t="shared" si="4"/>
        <v>1843.0656300454139</v>
      </c>
    </row>
    <row r="20" spans="1:16" x14ac:dyDescent="0.25">
      <c r="A20" s="12">
        <v>15</v>
      </c>
      <c r="B20" s="18"/>
      <c r="C20" s="27">
        <f>iWoDat!$D$28</f>
        <v>72800</v>
      </c>
      <c r="D20" s="28">
        <f>iWoDat!$D$21</f>
        <v>39140.288</v>
      </c>
      <c r="E20" s="36">
        <f>iWoDarl!C25</f>
        <v>4384.8373710401866</v>
      </c>
      <c r="F20" s="25">
        <f>'iWoTab EK'!K30</f>
        <v>15363.786318425353</v>
      </c>
      <c r="G20" s="38">
        <f t="shared" si="0"/>
        <v>18295.925681574648</v>
      </c>
      <c r="H20" s="52">
        <f t="shared" si="5"/>
        <v>130000</v>
      </c>
      <c r="I20" s="50">
        <v>2.5</v>
      </c>
      <c r="J20" s="51">
        <f t="shared" si="6"/>
        <v>5000</v>
      </c>
      <c r="K20" s="43">
        <f t="shared" si="7"/>
        <v>0</v>
      </c>
      <c r="L20" s="53">
        <v>0</v>
      </c>
      <c r="M20" s="45">
        <f t="shared" si="1"/>
        <v>0</v>
      </c>
      <c r="N20" s="40">
        <f t="shared" si="2"/>
        <v>48051.376310534455</v>
      </c>
      <c r="O20" s="40">
        <f t="shared" si="3"/>
        <v>-16817.981708687057</v>
      </c>
      <c r="P20" s="54">
        <f t="shared" si="4"/>
        <v>1477.9439728875914</v>
      </c>
    </row>
    <row r="21" spans="1:16" x14ac:dyDescent="0.25">
      <c r="A21" s="12">
        <v>16</v>
      </c>
      <c r="B21" s="18"/>
      <c r="C21" s="27">
        <f>iWoDat!$D$28</f>
        <v>72800</v>
      </c>
      <c r="D21" s="28">
        <f>iWoDat!$D$21</f>
        <v>39140.288</v>
      </c>
      <c r="E21" s="36">
        <f>iWoDarl!C26</f>
        <v>3689.7283584609909</v>
      </c>
      <c r="F21" s="25">
        <f>'iWoTab EK'!K31</f>
        <v>15561.483113201732</v>
      </c>
      <c r="G21" s="38">
        <f t="shared" si="0"/>
        <v>18098.228886798268</v>
      </c>
      <c r="H21" s="52">
        <f t="shared" si="5"/>
        <v>125000</v>
      </c>
      <c r="I21" s="50">
        <v>2.5</v>
      </c>
      <c r="J21" s="51">
        <f t="shared" si="6"/>
        <v>5000</v>
      </c>
      <c r="K21" s="43">
        <f t="shared" si="7"/>
        <v>0</v>
      </c>
      <c r="L21" s="53">
        <v>0</v>
      </c>
      <c r="M21" s="45">
        <f t="shared" si="1"/>
        <v>0</v>
      </c>
      <c r="N21" s="40">
        <f t="shared" si="2"/>
        <v>48548.788528337274</v>
      </c>
      <c r="O21" s="40">
        <f t="shared" si="3"/>
        <v>-16992.075984918047</v>
      </c>
      <c r="P21" s="54">
        <f t="shared" si="4"/>
        <v>1106.1529018802212</v>
      </c>
    </row>
    <row r="22" spans="1:16" x14ac:dyDescent="0.25">
      <c r="A22" s="12">
        <v>17</v>
      </c>
      <c r="B22" s="18"/>
      <c r="C22" s="27">
        <f>iWoDat!$D$28</f>
        <v>72800</v>
      </c>
      <c r="D22" s="28">
        <f>iWoDat!$D$21</f>
        <v>39140.288</v>
      </c>
      <c r="E22" s="36">
        <f>iWoDarl!C27</f>
        <v>2980.7171656302107</v>
      </c>
      <c r="F22" s="25">
        <f>'iWoTab EK'!K32</f>
        <v>15762.145359899758</v>
      </c>
      <c r="G22" s="38">
        <f t="shared" si="0"/>
        <v>17897.566640100242</v>
      </c>
      <c r="H22" s="52">
        <f t="shared" si="5"/>
        <v>120000</v>
      </c>
      <c r="I22" s="50">
        <v>2.5</v>
      </c>
      <c r="J22" s="51">
        <f t="shared" si="6"/>
        <v>5000</v>
      </c>
      <c r="K22" s="43">
        <f t="shared" si="7"/>
        <v>0</v>
      </c>
      <c r="L22" s="53">
        <v>0</v>
      </c>
      <c r="M22" s="45">
        <f t="shared" si="1"/>
        <v>0</v>
      </c>
      <c r="N22" s="40">
        <f t="shared" si="2"/>
        <v>49057.13747447003</v>
      </c>
      <c r="O22" s="40">
        <f t="shared" si="3"/>
        <v>-17169.998116064511</v>
      </c>
      <c r="P22" s="54">
        <f t="shared" si="4"/>
        <v>727.56852403573066</v>
      </c>
    </row>
    <row r="23" spans="1:16" x14ac:dyDescent="0.25">
      <c r="A23" s="12">
        <v>18</v>
      </c>
      <c r="B23" s="18"/>
      <c r="C23" s="27">
        <f>iWoDat!$D$28</f>
        <v>72800</v>
      </c>
      <c r="D23" s="28">
        <f>iWoDat!$D$21</f>
        <v>39140.288</v>
      </c>
      <c r="E23" s="36">
        <f>iWoDarl!C28</f>
        <v>2257.525748942815</v>
      </c>
      <c r="F23" s="25">
        <f>'iWoTab EK'!K33</f>
        <v>15965.817540298252</v>
      </c>
      <c r="G23" s="38">
        <f t="shared" si="0"/>
        <v>17693.894459701747</v>
      </c>
      <c r="H23" s="52">
        <f t="shared" si="5"/>
        <v>115000</v>
      </c>
      <c r="I23" s="50">
        <v>2.5</v>
      </c>
      <c r="J23" s="51">
        <f t="shared" si="6"/>
        <v>5000</v>
      </c>
      <c r="K23" s="43">
        <f t="shared" si="7"/>
        <v>0</v>
      </c>
      <c r="L23" s="53">
        <v>0</v>
      </c>
      <c r="M23" s="45">
        <f t="shared" si="1"/>
        <v>0</v>
      </c>
      <c r="N23" s="40">
        <f t="shared" si="2"/>
        <v>49576.656710758929</v>
      </c>
      <c r="O23" s="40">
        <f t="shared" si="3"/>
        <v>-17351.829848765625</v>
      </c>
      <c r="P23" s="54">
        <f t="shared" si="4"/>
        <v>342.06461093612234</v>
      </c>
    </row>
    <row r="24" spans="1:16" x14ac:dyDescent="0.25">
      <c r="A24" s="12">
        <v>19</v>
      </c>
      <c r="B24" s="18"/>
      <c r="C24" s="27">
        <f>iWoDat!$D$28</f>
        <v>72800</v>
      </c>
      <c r="D24" s="28">
        <f>iWoDat!$D$21</f>
        <v>39140.288</v>
      </c>
      <c r="E24" s="36">
        <f>iWoDarl!C29</f>
        <v>1519.8705039216711</v>
      </c>
      <c r="F24" s="25">
        <f>'iWoTab EK'!K34</f>
        <v>16172.544803402725</v>
      </c>
      <c r="G24" s="38">
        <f t="shared" si="0"/>
        <v>17487.167196597275</v>
      </c>
      <c r="H24" s="52">
        <f t="shared" si="5"/>
        <v>110000</v>
      </c>
      <c r="I24" s="50">
        <v>2.5</v>
      </c>
      <c r="J24" s="51">
        <f t="shared" si="6"/>
        <v>5000</v>
      </c>
      <c r="K24" s="43">
        <f t="shared" si="7"/>
        <v>0</v>
      </c>
      <c r="L24" s="53">
        <v>0</v>
      </c>
      <c r="M24" s="45">
        <f t="shared" si="1"/>
        <v>0</v>
      </c>
      <c r="N24" s="40">
        <f t="shared" si="2"/>
        <v>50107.584692675606</v>
      </c>
      <c r="O24" s="40">
        <f t="shared" si="3"/>
        <v>-17537.654642436461</v>
      </c>
      <c r="P24" s="54">
        <f t="shared" si="4"/>
        <v>-50.487445839185966</v>
      </c>
    </row>
    <row r="25" spans="1:16" x14ac:dyDescent="0.25">
      <c r="A25" s="12">
        <v>20</v>
      </c>
      <c r="B25" s="23">
        <f>'iWoTab EK'!$B$35</f>
        <v>626862.52249495825</v>
      </c>
      <c r="C25" s="27">
        <f>iWoDat!$D$28</f>
        <v>72800</v>
      </c>
      <c r="D25" s="28">
        <f>iWoDat!$D$21</f>
        <v>39140.288</v>
      </c>
      <c r="E25" s="36">
        <f>iWoDarl!C30</f>
        <v>767.46215400010465</v>
      </c>
      <c r="F25" s="25">
        <f>'iWoTab EK'!K35</f>
        <v>16382.372975453764</v>
      </c>
      <c r="G25" s="38">
        <f>C25-D25-F25+B25</f>
        <v>644139.86151950445</v>
      </c>
      <c r="H25" s="52">
        <f t="shared" si="5"/>
        <v>105000</v>
      </c>
      <c r="I25" s="50">
        <v>2.5</v>
      </c>
      <c r="J25" s="51">
        <f t="shared" si="6"/>
        <v>5000</v>
      </c>
      <c r="K25" s="43">
        <f t="shared" si="7"/>
        <v>0</v>
      </c>
      <c r="L25" s="53">
        <v>0</v>
      </c>
      <c r="M25" s="45">
        <f t="shared" si="1"/>
        <v>0</v>
      </c>
      <c r="N25" s="40">
        <f t="shared" si="2"/>
        <v>50650.164870546127</v>
      </c>
      <c r="O25" s="40">
        <f t="shared" si="3"/>
        <v>-17727.557704691142</v>
      </c>
      <c r="P25" s="54">
        <f t="shared" si="4"/>
        <v>626412.30381481326</v>
      </c>
    </row>
    <row r="26" spans="1:16" x14ac:dyDescent="0.25">
      <c r="E26" s="20"/>
      <c r="F26" s="20"/>
      <c r="G26" s="26">
        <f>NPV(B1,G6:G25)+G5</f>
        <v>349517.83819375397</v>
      </c>
      <c r="H26" s="26"/>
      <c r="I26" s="26"/>
      <c r="J26" s="26"/>
      <c r="K26" s="26"/>
      <c r="L26" s="26"/>
      <c r="M26" s="26"/>
      <c r="N26" s="26"/>
      <c r="O26" s="26"/>
      <c r="P26" s="26">
        <f t="shared" ref="P26" si="8">NPV(K1,P6:P25)+P5</f>
        <v>670221.77244015085</v>
      </c>
    </row>
    <row r="28" spans="1:16" x14ac:dyDescent="0.25">
      <c r="B28" s="22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33" zoomScale="125" workbookViewId="0">
      <selection activeCell="Q43" sqref="Q43"/>
    </sheetView>
  </sheetViews>
  <sheetFormatPr baseColWidth="10" defaultRowHeight="13.2" x14ac:dyDescent="0.25"/>
  <cols>
    <col min="1" max="1" width="7.88671875" bestFit="1" customWidth="1"/>
    <col min="2" max="2" width="10.109375" customWidth="1"/>
    <col min="3" max="3" width="9.6640625" customWidth="1"/>
    <col min="4" max="4" width="6.6640625" customWidth="1"/>
    <col min="5" max="5" width="7.44140625" customWidth="1"/>
    <col min="6" max="6" width="10.33203125" customWidth="1"/>
    <col min="7" max="7" width="7.44140625" customWidth="1"/>
    <col min="8" max="8" width="6.33203125" customWidth="1"/>
    <col min="9" max="9" width="8.33203125" customWidth="1"/>
    <col min="10" max="12" width="7.33203125" customWidth="1"/>
    <col min="13" max="13" width="7.44140625" customWidth="1"/>
    <col min="14" max="14" width="10" customWidth="1"/>
    <col min="15" max="15" width="11.33203125" customWidth="1"/>
    <col min="16" max="16" width="9.33203125" customWidth="1"/>
  </cols>
  <sheetData>
    <row r="1" spans="1:16" x14ac:dyDescent="0.25">
      <c r="A1" s="1" t="s">
        <v>68</v>
      </c>
      <c r="B1" s="14">
        <v>3.5000000000000003E-2</v>
      </c>
      <c r="C1" s="14"/>
    </row>
    <row r="2" spans="1:16" x14ac:dyDescent="0.25">
      <c r="A2" t="s">
        <v>38</v>
      </c>
      <c r="B2" s="14">
        <v>1.7999999999999999E-2</v>
      </c>
      <c r="C2" s="14"/>
    </row>
    <row r="3" spans="1:16" x14ac:dyDescent="0.25">
      <c r="A3" t="s">
        <v>39</v>
      </c>
      <c r="B3" s="14">
        <v>1.2E-2</v>
      </c>
      <c r="C3" s="14"/>
    </row>
    <row r="4" spans="1:16" x14ac:dyDescent="0.25">
      <c r="A4" t="s">
        <v>40</v>
      </c>
      <c r="B4" s="14">
        <v>6.0000000000000001E-3</v>
      </c>
      <c r="C4" s="14"/>
    </row>
    <row r="5" spans="1:16" x14ac:dyDescent="0.25">
      <c r="A5" t="s">
        <v>41</v>
      </c>
      <c r="B5" s="14">
        <v>0</v>
      </c>
      <c r="C5" s="14"/>
    </row>
    <row r="6" spans="1:16" x14ac:dyDescent="0.25">
      <c r="A6" t="s">
        <v>42</v>
      </c>
      <c r="B6" s="14">
        <v>1.4999999999999999E-2</v>
      </c>
      <c r="C6" s="14"/>
    </row>
    <row r="7" spans="1:16" x14ac:dyDescent="0.25">
      <c r="A7" t="s">
        <v>43</v>
      </c>
      <c r="B7" s="14">
        <v>1.4999999999999999E-2</v>
      </c>
      <c r="C7" s="14"/>
    </row>
    <row r="8" spans="1:16" x14ac:dyDescent="0.25">
      <c r="A8" t="s">
        <v>44</v>
      </c>
      <c r="B8" s="14">
        <v>0</v>
      </c>
      <c r="C8" s="14"/>
    </row>
    <row r="9" spans="1:16" x14ac:dyDescent="0.25">
      <c r="A9" t="s">
        <v>45</v>
      </c>
      <c r="B9" s="14">
        <v>0.03</v>
      </c>
      <c r="C9" s="14"/>
    </row>
    <row r="10" spans="1:16" ht="15.6" x14ac:dyDescent="0.35">
      <c r="A10" t="s">
        <v>56</v>
      </c>
      <c r="B10" s="14">
        <v>0.03</v>
      </c>
      <c r="C10" s="14"/>
    </row>
    <row r="11" spans="1:16" x14ac:dyDescent="0.25">
      <c r="A11" t="s">
        <v>46</v>
      </c>
      <c r="B11" s="15">
        <f>(L16+G16)/F15</f>
        <v>8.0818509090909096E-2</v>
      </c>
      <c r="C11" s="15"/>
    </row>
    <row r="12" spans="1:16" x14ac:dyDescent="0.25">
      <c r="A12" t="s">
        <v>47</v>
      </c>
      <c r="B12" s="15">
        <v>0.09</v>
      </c>
      <c r="C12" s="15"/>
      <c r="D12" s="3"/>
      <c r="E12" s="3"/>
      <c r="F12" s="3"/>
    </row>
    <row r="13" spans="1:16" x14ac:dyDescent="0.25">
      <c r="A13" t="s">
        <v>48</v>
      </c>
      <c r="B13" s="15">
        <v>-1.68167E-2</v>
      </c>
      <c r="C13" s="15"/>
      <c r="D13" s="3"/>
      <c r="E13" s="3"/>
      <c r="F13" s="3"/>
    </row>
    <row r="14" spans="1:16" ht="15.6" x14ac:dyDescent="0.35">
      <c r="A14" s="11" t="s">
        <v>27</v>
      </c>
      <c r="B14" s="11" t="s">
        <v>71</v>
      </c>
      <c r="C14" s="11" t="s">
        <v>63</v>
      </c>
      <c r="D14" s="11" t="s">
        <v>2</v>
      </c>
      <c r="E14" s="11" t="s">
        <v>48</v>
      </c>
      <c r="F14" s="11" t="s">
        <v>49</v>
      </c>
      <c r="G14" s="11" t="s">
        <v>50</v>
      </c>
      <c r="H14" s="11" t="s">
        <v>42</v>
      </c>
      <c r="I14" s="11" t="s">
        <v>51</v>
      </c>
      <c r="J14" s="11" t="s">
        <v>45</v>
      </c>
      <c r="K14" s="11" t="s">
        <v>64</v>
      </c>
      <c r="L14" s="11" t="s">
        <v>52</v>
      </c>
      <c r="M14" s="11" t="s">
        <v>53</v>
      </c>
      <c r="N14" s="11" t="s">
        <v>54</v>
      </c>
      <c r="O14" s="11"/>
      <c r="P14" s="11"/>
    </row>
    <row r="15" spans="1:16" x14ac:dyDescent="0.25">
      <c r="A15" s="12">
        <v>0</v>
      </c>
      <c r="B15" s="16">
        <f>iWoDat!$D$16*(-1)</f>
        <v>-240000</v>
      </c>
      <c r="C15" s="16"/>
      <c r="D15" s="16"/>
      <c r="E15" s="16"/>
      <c r="F15" s="16">
        <f>(iWoDat!$D$6+iWoDat!$D$5+iWoDat!$D$13)*iWoDat!$D$3</f>
        <v>880000</v>
      </c>
      <c r="G15" s="16"/>
      <c r="H15" s="16"/>
      <c r="I15" s="16"/>
      <c r="J15" s="16"/>
      <c r="K15" s="16">
        <f t="shared" ref="K15:K35" si="0">SUM(H15:J15)</f>
        <v>0</v>
      </c>
      <c r="L15" s="16">
        <v>0</v>
      </c>
      <c r="M15" s="17">
        <f t="shared" ref="M15:M35" si="1">1/(1+$B$1)^A15</f>
        <v>1</v>
      </c>
      <c r="N15" s="16">
        <f>F15*(-1)+B15</f>
        <v>-1120000</v>
      </c>
      <c r="O15" s="16"/>
      <c r="P15" s="3"/>
    </row>
    <row r="16" spans="1:16" x14ac:dyDescent="0.25">
      <c r="A16" s="12">
        <v>1</v>
      </c>
      <c r="B16" s="18"/>
      <c r="C16" s="16">
        <f>iWoDat!$D$33*iWoDat!$D$3*12</f>
        <v>52800</v>
      </c>
      <c r="D16" s="27">
        <f>iWoDat!$D$31</f>
        <v>44000</v>
      </c>
      <c r="E16" s="16">
        <f t="shared" ref="E16:E35" si="2">F16-F15</f>
        <v>-14798.695999999996</v>
      </c>
      <c r="F16" s="16">
        <f t="shared" ref="F16:F35" si="3">F15*(1+$B$13)</f>
        <v>865201.304</v>
      </c>
      <c r="G16" s="28">
        <f>iWoDat!$D$21</f>
        <v>39140.288</v>
      </c>
      <c r="H16" s="28">
        <f>iWoDat!$D$23</f>
        <v>3700</v>
      </c>
      <c r="I16" s="28">
        <f>iWoDat!$D$24</f>
        <v>7000</v>
      </c>
      <c r="J16" s="29">
        <f>$B$10*D16</f>
        <v>1320</v>
      </c>
      <c r="K16" s="25">
        <f t="shared" si="0"/>
        <v>12020</v>
      </c>
      <c r="L16" s="24">
        <f t="shared" ref="L16:L35" si="4">D16-SUM(H16:J16)</f>
        <v>31980</v>
      </c>
      <c r="M16" s="31">
        <f t="shared" si="1"/>
        <v>0.96618357487922713</v>
      </c>
      <c r="N16" s="24">
        <f t="shared" ref="N16:N34" si="5">L16*M16</f>
        <v>30898.550724637684</v>
      </c>
      <c r="O16" s="24"/>
      <c r="P16" s="3"/>
    </row>
    <row r="17" spans="1:17" x14ac:dyDescent="0.25">
      <c r="A17" s="12">
        <v>2</v>
      </c>
      <c r="B17" s="18"/>
      <c r="C17" s="16">
        <f>C16*(1+$B$2)</f>
        <v>53750.400000000001</v>
      </c>
      <c r="D17" s="27">
        <f>iWoDat!$D$31</f>
        <v>44000</v>
      </c>
      <c r="E17" s="16">
        <f t="shared" si="2"/>
        <v>-14549.830768976826</v>
      </c>
      <c r="F17" s="16">
        <f t="shared" si="3"/>
        <v>850651.47323102318</v>
      </c>
      <c r="G17" s="28">
        <f>iWoDat!$D$21</f>
        <v>39140.288</v>
      </c>
      <c r="H17" s="28">
        <f t="shared" ref="H17:H35" si="6">H16*(1+$B$6)</f>
        <v>3755.4999999999995</v>
      </c>
      <c r="I17" s="28">
        <f t="shared" ref="I17:I35" si="7">I16*(1+$B$7)</f>
        <v>7104.9999999999991</v>
      </c>
      <c r="J17" s="29">
        <f t="shared" ref="J17:J35" si="8">$B$9*D17</f>
        <v>1320</v>
      </c>
      <c r="K17" s="25">
        <f t="shared" si="0"/>
        <v>12180.499999999998</v>
      </c>
      <c r="L17" s="24">
        <f t="shared" si="4"/>
        <v>31819.5</v>
      </c>
      <c r="M17" s="31">
        <f t="shared" si="1"/>
        <v>0.93351070036640305</v>
      </c>
      <c r="N17" s="24">
        <f t="shared" si="5"/>
        <v>29703.843730308763</v>
      </c>
      <c r="O17" s="24"/>
      <c r="P17" s="3"/>
      <c r="Q17" s="3"/>
    </row>
    <row r="18" spans="1:17" x14ac:dyDescent="0.25">
      <c r="A18" s="12">
        <v>3</v>
      </c>
      <c r="B18" s="18"/>
      <c r="C18" s="16">
        <f>C17*(1+$B$2)</f>
        <v>54717.907200000001</v>
      </c>
      <c r="D18" s="27">
        <f>iWoDat!$D$31</f>
        <v>44000</v>
      </c>
      <c r="E18" s="16">
        <f t="shared" si="2"/>
        <v>-14305.150629884214</v>
      </c>
      <c r="F18" s="16">
        <f t="shared" si="3"/>
        <v>836346.32260113896</v>
      </c>
      <c r="G18" s="28">
        <f>iWoDat!$D$21</f>
        <v>39140.288</v>
      </c>
      <c r="H18" s="28">
        <f t="shared" si="6"/>
        <v>3811.8324999999991</v>
      </c>
      <c r="I18" s="28">
        <f t="shared" si="7"/>
        <v>7211.574999999998</v>
      </c>
      <c r="J18" s="29">
        <f t="shared" si="8"/>
        <v>1320</v>
      </c>
      <c r="K18" s="25">
        <f t="shared" si="0"/>
        <v>12343.407499999998</v>
      </c>
      <c r="L18" s="24">
        <f t="shared" si="4"/>
        <v>31656.592500000002</v>
      </c>
      <c r="M18" s="31">
        <f t="shared" si="1"/>
        <v>0.90194270566802237</v>
      </c>
      <c r="N18" s="24">
        <f t="shared" si="5"/>
        <v>28552.432691680027</v>
      </c>
      <c r="O18" s="24"/>
      <c r="P18" s="3"/>
    </row>
    <row r="19" spans="1:17" x14ac:dyDescent="0.25">
      <c r="A19" s="12">
        <v>4</v>
      </c>
      <c r="B19" s="18"/>
      <c r="C19" s="16">
        <f>C18*(1+$B$2)</f>
        <v>55702.8295296</v>
      </c>
      <c r="D19" s="27">
        <f>iWoDat!$D$31</f>
        <v>44000</v>
      </c>
      <c r="E19" s="16">
        <f t="shared" si="2"/>
        <v>-14064.58520328661</v>
      </c>
      <c r="F19" s="16">
        <f t="shared" si="3"/>
        <v>822281.73739785235</v>
      </c>
      <c r="G19" s="28">
        <f>iWoDat!$D$21</f>
        <v>39140.288</v>
      </c>
      <c r="H19" s="28">
        <f t="shared" si="6"/>
        <v>3869.0099874999987</v>
      </c>
      <c r="I19" s="28">
        <f t="shared" si="7"/>
        <v>7319.7486249999974</v>
      </c>
      <c r="J19" s="29">
        <f t="shared" si="8"/>
        <v>1320</v>
      </c>
      <c r="K19" s="25">
        <f t="shared" si="0"/>
        <v>12508.758612499996</v>
      </c>
      <c r="L19" s="24">
        <f t="shared" si="4"/>
        <v>31491.241387500006</v>
      </c>
      <c r="M19" s="31">
        <f t="shared" si="1"/>
        <v>0.87144222769857238</v>
      </c>
      <c r="N19" s="24">
        <f t="shared" si="5"/>
        <v>27442.797547716487</v>
      </c>
      <c r="O19" s="24"/>
      <c r="P19" s="3"/>
    </row>
    <row r="20" spans="1:17" x14ac:dyDescent="0.25">
      <c r="A20" s="12">
        <v>5</v>
      </c>
      <c r="B20" s="18"/>
      <c r="C20" s="19">
        <f>C19*(1+$B$2)</f>
        <v>56705.4804611328</v>
      </c>
      <c r="D20" s="27">
        <f>iWoDat!$D$31</f>
        <v>44000</v>
      </c>
      <c r="E20" s="16">
        <f t="shared" si="2"/>
        <v>-13828.065293298452</v>
      </c>
      <c r="F20" s="16">
        <f t="shared" si="3"/>
        <v>808453.6721045539</v>
      </c>
      <c r="G20" s="28">
        <f>iWoDat!$D$21</f>
        <v>39140.288</v>
      </c>
      <c r="H20" s="28">
        <f t="shared" si="6"/>
        <v>3927.0451373124984</v>
      </c>
      <c r="I20" s="28">
        <f t="shared" si="7"/>
        <v>7429.5448543749962</v>
      </c>
      <c r="J20" s="29">
        <f t="shared" si="8"/>
        <v>1320</v>
      </c>
      <c r="K20" s="25">
        <f t="shared" si="0"/>
        <v>12676.589991687495</v>
      </c>
      <c r="L20" s="24">
        <f t="shared" si="4"/>
        <v>31323.410008312505</v>
      </c>
      <c r="M20" s="31">
        <f t="shared" si="1"/>
        <v>0.84197316685852419</v>
      </c>
      <c r="N20" s="24">
        <f t="shared" si="5"/>
        <v>26373.47072150687</v>
      </c>
      <c r="O20" s="24"/>
      <c r="P20" s="3"/>
    </row>
    <row r="21" spans="1:17" x14ac:dyDescent="0.25">
      <c r="A21" s="12">
        <v>6</v>
      </c>
      <c r="B21" s="18"/>
      <c r="C21" s="16">
        <f>C20*(1+$B$3)</f>
        <v>57385.946226666398</v>
      </c>
      <c r="D21" s="27">
        <f>iWoDat!$D$31</f>
        <v>44000</v>
      </c>
      <c r="E21" s="16">
        <f t="shared" si="2"/>
        <v>-13595.522867680644</v>
      </c>
      <c r="F21" s="16">
        <f t="shared" si="3"/>
        <v>794858.14923687326</v>
      </c>
      <c r="G21" s="28">
        <f>iWoDat!$D$21</f>
        <v>39140.288</v>
      </c>
      <c r="H21" s="28">
        <f t="shared" si="6"/>
        <v>3985.9508143721855</v>
      </c>
      <c r="I21" s="28">
        <f t="shared" si="7"/>
        <v>7540.9880271906204</v>
      </c>
      <c r="J21" s="29">
        <f t="shared" si="8"/>
        <v>1320</v>
      </c>
      <c r="K21" s="25">
        <f t="shared" si="0"/>
        <v>12846.938841562805</v>
      </c>
      <c r="L21" s="24">
        <f t="shared" si="4"/>
        <v>31153.061158437195</v>
      </c>
      <c r="M21" s="31">
        <f t="shared" si="1"/>
        <v>0.81350064430775282</v>
      </c>
      <c r="N21" s="24">
        <f t="shared" si="5"/>
        <v>25343.035324547487</v>
      </c>
      <c r="O21" s="24"/>
      <c r="P21" s="3"/>
    </row>
    <row r="22" spans="1:17" x14ac:dyDescent="0.25">
      <c r="A22" s="12">
        <v>7</v>
      </c>
      <c r="B22" s="18"/>
      <c r="C22" s="16">
        <f>C21*(1+$B$3)</f>
        <v>58074.577581386395</v>
      </c>
      <c r="D22" s="27">
        <f>iWoDat!$D$31</f>
        <v>44000</v>
      </c>
      <c r="E22" s="16">
        <f t="shared" si="2"/>
        <v>-13366.891038271715</v>
      </c>
      <c r="F22" s="16">
        <f t="shared" si="3"/>
        <v>781491.25819860154</v>
      </c>
      <c r="G22" s="28">
        <f>iWoDat!$D$21</f>
        <v>39140.288</v>
      </c>
      <c r="H22" s="28">
        <f t="shared" si="6"/>
        <v>4045.7400765877678</v>
      </c>
      <c r="I22" s="28">
        <f t="shared" si="7"/>
        <v>7654.1028475984785</v>
      </c>
      <c r="J22" s="29">
        <f t="shared" si="8"/>
        <v>1320</v>
      </c>
      <c r="K22" s="25">
        <f t="shared" si="0"/>
        <v>13019.842924186247</v>
      </c>
      <c r="L22" s="24">
        <f t="shared" si="4"/>
        <v>30980.157075813753</v>
      </c>
      <c r="M22" s="31">
        <f t="shared" si="1"/>
        <v>0.78599096068381913</v>
      </c>
      <c r="N22" s="24">
        <f t="shared" si="5"/>
        <v>24350.123422154469</v>
      </c>
      <c r="O22" s="24"/>
      <c r="P22" s="3"/>
    </row>
    <row r="23" spans="1:17" x14ac:dyDescent="0.25">
      <c r="A23" s="12">
        <v>8</v>
      </c>
      <c r="B23" s="18"/>
      <c r="C23" s="16">
        <f>C22*(1+$B$3)</f>
        <v>58771.472512363034</v>
      </c>
      <c r="D23" s="27">
        <f>iWoDat!$D$31</f>
        <v>44000</v>
      </c>
      <c r="E23" s="16">
        <f t="shared" si="2"/>
        <v>-13142.104041748447</v>
      </c>
      <c r="F23" s="16">
        <f t="shared" si="3"/>
        <v>768349.1541568531</v>
      </c>
      <c r="G23" s="28">
        <f>iWoDat!$D$21</f>
        <v>39140.288</v>
      </c>
      <c r="H23" s="28">
        <f t="shared" si="6"/>
        <v>4106.4261777365837</v>
      </c>
      <c r="I23" s="28">
        <f t="shared" si="7"/>
        <v>7768.914390312455</v>
      </c>
      <c r="J23" s="29">
        <f t="shared" si="8"/>
        <v>1320</v>
      </c>
      <c r="K23" s="25">
        <f t="shared" si="0"/>
        <v>13195.34056804904</v>
      </c>
      <c r="L23" s="24">
        <f t="shared" si="4"/>
        <v>30804.65943195096</v>
      </c>
      <c r="M23" s="31">
        <f t="shared" si="1"/>
        <v>0.75941155621625056</v>
      </c>
      <c r="N23" s="24">
        <f t="shared" si="5"/>
        <v>23393.41435792948</v>
      </c>
      <c r="O23" s="24"/>
      <c r="P23" s="3"/>
    </row>
    <row r="24" spans="1:17" x14ac:dyDescent="0.25">
      <c r="A24" s="12">
        <v>9</v>
      </c>
      <c r="B24" s="18"/>
      <c r="C24" s="16">
        <f>C23*(1+$B$3)</f>
        <v>59476.73018251139</v>
      </c>
      <c r="D24" s="27">
        <f>iWoDat!$D$31</f>
        <v>44000</v>
      </c>
      <c r="E24" s="16">
        <f t="shared" si="2"/>
        <v>-12921.097220709547</v>
      </c>
      <c r="F24" s="16">
        <f t="shared" si="3"/>
        <v>755428.05693614355</v>
      </c>
      <c r="G24" s="28">
        <f>iWoDat!$D$21</f>
        <v>39140.288</v>
      </c>
      <c r="H24" s="28">
        <f t="shared" si="6"/>
        <v>4168.0225704026316</v>
      </c>
      <c r="I24" s="28">
        <f t="shared" si="7"/>
        <v>7885.4481061671413</v>
      </c>
      <c r="J24" s="29">
        <f t="shared" si="8"/>
        <v>1320</v>
      </c>
      <c r="K24" s="25">
        <f t="shared" si="0"/>
        <v>13373.470676569774</v>
      </c>
      <c r="L24" s="24">
        <f t="shared" si="4"/>
        <v>30626.529323430226</v>
      </c>
      <c r="M24" s="31">
        <f t="shared" si="1"/>
        <v>0.73373097218961414</v>
      </c>
      <c r="N24" s="24">
        <f t="shared" si="5"/>
        <v>22471.633135274184</v>
      </c>
      <c r="O24" s="24"/>
      <c r="P24" s="3"/>
    </row>
    <row r="25" spans="1:17" x14ac:dyDescent="0.25">
      <c r="A25" s="12">
        <v>10</v>
      </c>
      <c r="B25" s="18"/>
      <c r="C25" s="19">
        <f>C24*(1+$B$3)</f>
        <v>60190.45094470153</v>
      </c>
      <c r="D25" s="27">
        <f>iWoDat!$D$31</f>
        <v>44000</v>
      </c>
      <c r="E25" s="16">
        <f t="shared" si="2"/>
        <v>-12703.807005078066</v>
      </c>
      <c r="F25" s="16">
        <f t="shared" si="3"/>
        <v>742724.24993106548</v>
      </c>
      <c r="G25" s="28">
        <f>iWoDat!$D$21</f>
        <v>39140.288</v>
      </c>
      <c r="H25" s="28">
        <f t="shared" si="6"/>
        <v>4230.5429089586705</v>
      </c>
      <c r="I25" s="28">
        <f t="shared" si="7"/>
        <v>8003.7298277596474</v>
      </c>
      <c r="J25" s="29">
        <f t="shared" si="8"/>
        <v>1320</v>
      </c>
      <c r="K25" s="25">
        <f t="shared" si="0"/>
        <v>13554.272736718318</v>
      </c>
      <c r="L25" s="24">
        <f t="shared" si="4"/>
        <v>30445.727263281682</v>
      </c>
      <c r="M25" s="31">
        <f t="shared" si="1"/>
        <v>0.70891881370977217</v>
      </c>
      <c r="N25" s="24">
        <f t="shared" si="5"/>
        <v>21583.548854016917</v>
      </c>
      <c r="O25" s="24"/>
      <c r="P25" s="3"/>
    </row>
    <row r="26" spans="1:17" x14ac:dyDescent="0.25">
      <c r="A26" s="12">
        <v>11</v>
      </c>
      <c r="B26" s="18"/>
      <c r="C26" s="16">
        <f>C25*(1+$B$4)</f>
        <v>60551.593650369738</v>
      </c>
      <c r="D26" s="27">
        <f>iWoDat!$D$31</f>
        <v>44000</v>
      </c>
      <c r="E26" s="16">
        <f t="shared" si="2"/>
        <v>-12490.170893815812</v>
      </c>
      <c r="F26" s="16">
        <f t="shared" si="3"/>
        <v>730234.07903724967</v>
      </c>
      <c r="G26" s="28">
        <f>iWoDat!$D$21</f>
        <v>39140.288</v>
      </c>
      <c r="H26" s="28">
        <f t="shared" si="6"/>
        <v>4294.0010525930502</v>
      </c>
      <c r="I26" s="28">
        <f t="shared" si="7"/>
        <v>8123.7857751760412</v>
      </c>
      <c r="J26" s="29">
        <f t="shared" si="8"/>
        <v>1320</v>
      </c>
      <c r="K26" s="25">
        <f t="shared" si="0"/>
        <v>13737.78682776909</v>
      </c>
      <c r="L26" s="24">
        <f t="shared" si="4"/>
        <v>30262.21317223091</v>
      </c>
      <c r="M26" s="31">
        <f t="shared" si="1"/>
        <v>0.68494571372924851</v>
      </c>
      <c r="N26" s="24">
        <f t="shared" si="5"/>
        <v>20727.973200280365</v>
      </c>
      <c r="O26" s="24"/>
      <c r="P26" s="3"/>
    </row>
    <row r="27" spans="1:17" x14ac:dyDescent="0.25">
      <c r="A27" s="12">
        <v>12</v>
      </c>
      <c r="B27" s="18"/>
      <c r="C27" s="16">
        <f>C26*(1+$B$4)</f>
        <v>60914.903212271958</v>
      </c>
      <c r="D27" s="27">
        <f>iWoDat!$D$31</f>
        <v>44000</v>
      </c>
      <c r="E27" s="16">
        <f t="shared" si="2"/>
        <v>-12280.127436945681</v>
      </c>
      <c r="F27" s="16">
        <f t="shared" si="3"/>
        <v>717953.95160030399</v>
      </c>
      <c r="G27" s="28">
        <f>iWoDat!$D$21</f>
        <v>39140.288</v>
      </c>
      <c r="H27" s="28">
        <f t="shared" si="6"/>
        <v>4358.4110683819454</v>
      </c>
      <c r="I27" s="28">
        <f t="shared" si="7"/>
        <v>8245.642561803681</v>
      </c>
      <c r="J27" s="29">
        <f t="shared" si="8"/>
        <v>1320</v>
      </c>
      <c r="K27" s="25">
        <f t="shared" si="0"/>
        <v>13924.053630185626</v>
      </c>
      <c r="L27" s="24">
        <f t="shared" si="4"/>
        <v>30075.946369814374</v>
      </c>
      <c r="M27" s="31">
        <f t="shared" si="1"/>
        <v>0.66178329828912896</v>
      </c>
      <c r="N27" s="24">
        <f t="shared" si="5"/>
        <v>19903.758987782712</v>
      </c>
      <c r="O27" s="24"/>
      <c r="P27" s="3"/>
    </row>
    <row r="28" spans="1:17" x14ac:dyDescent="0.25">
      <c r="A28" s="12">
        <v>13</v>
      </c>
      <c r="B28" s="18"/>
      <c r="C28" s="16">
        <f>C27*(1+$B$4)</f>
        <v>61280.39263154559</v>
      </c>
      <c r="D28" s="27">
        <f>iWoDat!$D$31</f>
        <v>44000</v>
      </c>
      <c r="E28" s="16">
        <f t="shared" si="2"/>
        <v>-12073.616217876901</v>
      </c>
      <c r="F28" s="16">
        <f t="shared" si="3"/>
        <v>705880.33538242709</v>
      </c>
      <c r="G28" s="28">
        <f>iWoDat!$D$21</f>
        <v>39140.288</v>
      </c>
      <c r="H28" s="28">
        <f t="shared" si="6"/>
        <v>4423.7872344076741</v>
      </c>
      <c r="I28" s="28">
        <f t="shared" si="7"/>
        <v>8369.3272002307349</v>
      </c>
      <c r="J28" s="29">
        <f t="shared" si="8"/>
        <v>1320</v>
      </c>
      <c r="K28" s="25">
        <f t="shared" si="0"/>
        <v>14113.11443463841</v>
      </c>
      <c r="L28" s="24">
        <f t="shared" si="4"/>
        <v>29886.88556536159</v>
      </c>
      <c r="M28" s="31">
        <f t="shared" si="1"/>
        <v>0.63940415293635666</v>
      </c>
      <c r="N28" s="24">
        <f t="shared" si="5"/>
        <v>19109.798748825851</v>
      </c>
      <c r="O28" s="24"/>
      <c r="P28" s="3"/>
    </row>
    <row r="29" spans="1:17" x14ac:dyDescent="0.25">
      <c r="A29" s="12">
        <v>14</v>
      </c>
      <c r="B29" s="18"/>
      <c r="C29" s="16">
        <f>C28*(1+$B$4)</f>
        <v>61648.074987334861</v>
      </c>
      <c r="D29" s="27">
        <f>iWoDat!$D$31</f>
        <v>44000</v>
      </c>
      <c r="E29" s="16">
        <f t="shared" si="2"/>
        <v>-11870.577836025623</v>
      </c>
      <c r="F29" s="16">
        <f t="shared" si="3"/>
        <v>694009.75754640147</v>
      </c>
      <c r="G29" s="28">
        <f>iWoDat!$D$21</f>
        <v>39140.288</v>
      </c>
      <c r="H29" s="28">
        <f t="shared" si="6"/>
        <v>4490.1440429237891</v>
      </c>
      <c r="I29" s="28">
        <f t="shared" si="7"/>
        <v>8494.8671082341953</v>
      </c>
      <c r="J29" s="29">
        <f t="shared" si="8"/>
        <v>1320</v>
      </c>
      <c r="K29" s="25">
        <f t="shared" si="0"/>
        <v>14305.011151157985</v>
      </c>
      <c r="L29" s="24">
        <f t="shared" si="4"/>
        <v>29694.988848842015</v>
      </c>
      <c r="M29" s="31">
        <f t="shared" si="1"/>
        <v>0.61778179027667302</v>
      </c>
      <c r="N29" s="24">
        <f t="shared" si="5"/>
        <v>18345.02337328346</v>
      </c>
      <c r="O29" s="24"/>
      <c r="P29" s="3"/>
    </row>
    <row r="30" spans="1:17" x14ac:dyDescent="0.25">
      <c r="A30" s="12">
        <v>15</v>
      </c>
      <c r="B30" s="18"/>
      <c r="C30" s="19">
        <f>C29*(1+$B$4)</f>
        <v>62017.96343725887</v>
      </c>
      <c r="D30" s="27">
        <f>iWoDat!$D$31</f>
        <v>44000</v>
      </c>
      <c r="E30" s="16">
        <f t="shared" si="2"/>
        <v>-11670.953889730619</v>
      </c>
      <c r="F30" s="16">
        <f t="shared" si="3"/>
        <v>682338.80365667085</v>
      </c>
      <c r="G30" s="28">
        <f>iWoDat!$D$21</f>
        <v>39140.288</v>
      </c>
      <c r="H30" s="28">
        <f t="shared" si="6"/>
        <v>4557.4962035676454</v>
      </c>
      <c r="I30" s="28">
        <f t="shared" si="7"/>
        <v>8622.2901148577075</v>
      </c>
      <c r="J30" s="29">
        <f t="shared" si="8"/>
        <v>1320</v>
      </c>
      <c r="K30" s="25">
        <f t="shared" si="0"/>
        <v>14499.786318425353</v>
      </c>
      <c r="L30" s="24">
        <f t="shared" si="4"/>
        <v>29500.213681574649</v>
      </c>
      <c r="M30" s="31">
        <f t="shared" si="1"/>
        <v>0.59689061862480497</v>
      </c>
      <c r="N30" s="24">
        <f t="shared" si="5"/>
        <v>17608.400793959026</v>
      </c>
      <c r="O30" s="24"/>
      <c r="P30" s="3"/>
    </row>
    <row r="31" spans="1:17" x14ac:dyDescent="0.25">
      <c r="A31" s="12">
        <v>16</v>
      </c>
      <c r="B31" s="18"/>
      <c r="C31" s="16">
        <f>C30*(1+$B$5)</f>
        <v>62017.96343725887</v>
      </c>
      <c r="D31" s="27">
        <f>iWoDat!$D$31</f>
        <v>44000</v>
      </c>
      <c r="E31" s="16">
        <f t="shared" si="2"/>
        <v>-11474.68695945316</v>
      </c>
      <c r="F31" s="16">
        <f t="shared" si="3"/>
        <v>670864.11669721769</v>
      </c>
      <c r="G31" s="28">
        <f>iWoDat!$D$21</f>
        <v>39140.288</v>
      </c>
      <c r="H31" s="28">
        <f t="shared" si="6"/>
        <v>4625.85864662116</v>
      </c>
      <c r="I31" s="28">
        <f t="shared" si="7"/>
        <v>8751.6244665805716</v>
      </c>
      <c r="J31" s="29">
        <f t="shared" si="8"/>
        <v>1320</v>
      </c>
      <c r="K31" s="25">
        <f t="shared" si="0"/>
        <v>14697.483113201732</v>
      </c>
      <c r="L31" s="24">
        <f t="shared" si="4"/>
        <v>29302.516886798268</v>
      </c>
      <c r="M31" s="31">
        <f t="shared" si="1"/>
        <v>0.57670591171478747</v>
      </c>
      <c r="N31" s="24">
        <f t="shared" si="5"/>
        <v>16898.93471673895</v>
      </c>
      <c r="O31" s="24"/>
      <c r="P31" s="3"/>
    </row>
    <row r="32" spans="1:17" x14ac:dyDescent="0.25">
      <c r="A32" s="12">
        <v>17</v>
      </c>
      <c r="B32" s="18"/>
      <c r="C32" s="16">
        <f>C31*(1+$B$5)</f>
        <v>62017.96343725887</v>
      </c>
      <c r="D32" s="27">
        <f>iWoDat!$D$31</f>
        <v>44000</v>
      </c>
      <c r="E32" s="16">
        <f t="shared" si="2"/>
        <v>-11281.720591262099</v>
      </c>
      <c r="F32" s="16">
        <f t="shared" si="3"/>
        <v>659582.39610595559</v>
      </c>
      <c r="G32" s="28">
        <f>iWoDat!$D$21</f>
        <v>39140.288</v>
      </c>
      <c r="H32" s="28">
        <f t="shared" si="6"/>
        <v>4695.2465263204767</v>
      </c>
      <c r="I32" s="28">
        <f t="shared" si="7"/>
        <v>8882.8988335792801</v>
      </c>
      <c r="J32" s="29">
        <f t="shared" si="8"/>
        <v>1320</v>
      </c>
      <c r="K32" s="25">
        <f t="shared" si="0"/>
        <v>14898.145359899758</v>
      </c>
      <c r="L32" s="24">
        <f t="shared" si="4"/>
        <v>29101.854640100242</v>
      </c>
      <c r="M32" s="31">
        <f t="shared" si="1"/>
        <v>0.55720377943457733</v>
      </c>
      <c r="N32" s="24">
        <f t="shared" si="5"/>
        <v>16215.663394019546</v>
      </c>
      <c r="O32" s="24"/>
      <c r="P32" s="3"/>
    </row>
    <row r="33" spans="1:16" x14ac:dyDescent="0.25">
      <c r="A33" s="12">
        <v>18</v>
      </c>
      <c r="B33" s="18"/>
      <c r="C33" s="16">
        <f>C32*(1+$B$5)</f>
        <v>62017.96343725887</v>
      </c>
      <c r="D33" s="27">
        <f>iWoDat!$D$31</f>
        <v>44000</v>
      </c>
      <c r="E33" s="16">
        <f t="shared" si="2"/>
        <v>-11091.999280594988</v>
      </c>
      <c r="F33" s="16">
        <f t="shared" si="3"/>
        <v>648490.3968253606</v>
      </c>
      <c r="G33" s="28">
        <f>iWoDat!$D$21</f>
        <v>39140.288</v>
      </c>
      <c r="H33" s="28">
        <f t="shared" si="6"/>
        <v>4765.6752242152834</v>
      </c>
      <c r="I33" s="28">
        <f t="shared" si="7"/>
        <v>9016.142316082969</v>
      </c>
      <c r="J33" s="29">
        <f t="shared" si="8"/>
        <v>1320</v>
      </c>
      <c r="K33" s="25">
        <f t="shared" si="0"/>
        <v>15101.817540298252</v>
      </c>
      <c r="L33" s="24">
        <f t="shared" si="4"/>
        <v>28898.182459701748</v>
      </c>
      <c r="M33" s="31">
        <f t="shared" si="1"/>
        <v>0.53836113955031628</v>
      </c>
      <c r="N33" s="24">
        <f t="shared" si="5"/>
        <v>15557.658439937995</v>
      </c>
      <c r="O33" s="24"/>
      <c r="P33" s="3"/>
    </row>
    <row r="34" spans="1:16" x14ac:dyDescent="0.25">
      <c r="A34" s="12">
        <v>19</v>
      </c>
      <c r="B34" s="18"/>
      <c r="C34" s="16">
        <f>C33*(1+$B$5)</f>
        <v>62017.96343725887</v>
      </c>
      <c r="D34" s="27">
        <f>iWoDat!$D$31</f>
        <v>44000</v>
      </c>
      <c r="E34" s="16">
        <f t="shared" si="2"/>
        <v>-10905.468456293107</v>
      </c>
      <c r="F34" s="16">
        <f t="shared" si="3"/>
        <v>637584.92836906749</v>
      </c>
      <c r="G34" s="28">
        <f>iWoDat!$D$21</f>
        <v>39140.288</v>
      </c>
      <c r="H34" s="28">
        <f t="shared" si="6"/>
        <v>4837.1603525785122</v>
      </c>
      <c r="I34" s="28">
        <f t="shared" si="7"/>
        <v>9151.3844508242128</v>
      </c>
      <c r="J34" s="29">
        <f t="shared" si="8"/>
        <v>1320</v>
      </c>
      <c r="K34" s="25">
        <f t="shared" si="0"/>
        <v>15308.544803402725</v>
      </c>
      <c r="L34" s="24">
        <f t="shared" si="4"/>
        <v>28691.455196597275</v>
      </c>
      <c r="M34" s="31">
        <f t="shared" si="1"/>
        <v>0.52015569038677911</v>
      </c>
      <c r="N34" s="24">
        <f t="shared" si="5"/>
        <v>14924.023685987397</v>
      </c>
      <c r="O34" s="24"/>
      <c r="P34" s="3"/>
    </row>
    <row r="35" spans="1:16" x14ac:dyDescent="0.25">
      <c r="A35" s="12">
        <v>20</v>
      </c>
      <c r="B35" s="23">
        <f>'iWoTab EK'!$B$35</f>
        <v>626862.52249495825</v>
      </c>
      <c r="C35" s="16">
        <f>C34*(1+$B$5)</f>
        <v>62017.96343725887</v>
      </c>
      <c r="D35" s="27">
        <f>iWoDat!$D$31</f>
        <v>44000</v>
      </c>
      <c r="E35" s="16">
        <f t="shared" si="2"/>
        <v>-10722.074464904144</v>
      </c>
      <c r="F35" s="23">
        <f t="shared" si="3"/>
        <v>626862.85390416335</v>
      </c>
      <c r="G35" s="28">
        <f>iWoDat!$D$21</f>
        <v>39140.288</v>
      </c>
      <c r="H35" s="28">
        <f t="shared" si="6"/>
        <v>4909.717757867189</v>
      </c>
      <c r="I35" s="30">
        <f t="shared" si="7"/>
        <v>9288.6552175865745</v>
      </c>
      <c r="J35" s="29">
        <f t="shared" si="8"/>
        <v>1320</v>
      </c>
      <c r="K35" s="25">
        <f t="shared" si="0"/>
        <v>15518.372975453764</v>
      </c>
      <c r="L35" s="24">
        <f t="shared" si="4"/>
        <v>28481.627024546236</v>
      </c>
      <c r="M35" s="31">
        <f t="shared" si="1"/>
        <v>0.50256588443167061</v>
      </c>
      <c r="N35" s="32">
        <f>L35*M35+B35*M35</f>
        <v>329353.61211039074</v>
      </c>
      <c r="O35" s="32"/>
      <c r="P35" s="3"/>
    </row>
    <row r="36" spans="1:16" x14ac:dyDescent="0.25">
      <c r="H36" s="20"/>
      <c r="I36" s="21"/>
      <c r="J36" s="20"/>
      <c r="K36" s="20"/>
      <c r="L36" s="26"/>
      <c r="M36" s="33"/>
      <c r="N36" s="34">
        <f>SUM(N15:N35)</f>
        <v>-371242.30203902145</v>
      </c>
      <c r="O36" s="35"/>
    </row>
    <row r="38" spans="1:16" x14ac:dyDescent="0.25">
      <c r="B38" s="22"/>
      <c r="C38" s="22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opLeftCell="A4" zoomScale="120" workbookViewId="0">
      <selection activeCell="G31" sqref="G31"/>
    </sheetView>
  </sheetViews>
  <sheetFormatPr baseColWidth="10" defaultRowHeight="13.2" x14ac:dyDescent="0.25"/>
  <cols>
    <col min="1" max="1" width="3" customWidth="1"/>
    <col min="2" max="2" width="13" customWidth="1"/>
    <col min="3" max="4" width="9.5546875" customWidth="1"/>
  </cols>
  <sheetData>
    <row r="2" spans="1:5" x14ac:dyDescent="0.25">
      <c r="B2" s="2" t="s">
        <v>0</v>
      </c>
    </row>
    <row r="3" spans="1:5" x14ac:dyDescent="0.25">
      <c r="B3" t="s">
        <v>15</v>
      </c>
      <c r="C3" s="3">
        <f>iWoDat!$D$17</f>
        <v>640000</v>
      </c>
    </row>
    <row r="4" spans="1:5" ht="15.6" x14ac:dyDescent="0.35">
      <c r="B4" t="s">
        <v>31</v>
      </c>
      <c r="C4" s="9">
        <v>2</v>
      </c>
    </row>
    <row r="5" spans="1:5" ht="15.6" x14ac:dyDescent="0.35">
      <c r="B5" t="s">
        <v>32</v>
      </c>
      <c r="C5" s="9">
        <v>2</v>
      </c>
    </row>
    <row r="6" spans="1:5" x14ac:dyDescent="0.25">
      <c r="B6" t="s">
        <v>26</v>
      </c>
      <c r="C6" s="10">
        <v>4.1156699999999997</v>
      </c>
    </row>
    <row r="7" spans="1:5" x14ac:dyDescent="0.25">
      <c r="B7" t="s">
        <v>65</v>
      </c>
      <c r="C7" s="3">
        <f>C11+D11</f>
        <v>39140.288</v>
      </c>
    </row>
    <row r="8" spans="1:5" x14ac:dyDescent="0.25">
      <c r="C8" s="8"/>
    </row>
    <row r="10" spans="1:5" x14ac:dyDescent="0.25">
      <c r="A10" s="11" t="s">
        <v>27</v>
      </c>
      <c r="B10" s="11" t="s">
        <v>28</v>
      </c>
      <c r="C10" s="11" t="s">
        <v>29</v>
      </c>
      <c r="D10" s="11" t="s">
        <v>30</v>
      </c>
      <c r="E10" s="11" t="s">
        <v>66</v>
      </c>
    </row>
    <row r="11" spans="1:5" x14ac:dyDescent="0.25">
      <c r="A11" s="12">
        <v>1</v>
      </c>
      <c r="B11" s="3">
        <f>$C$3</f>
        <v>640000</v>
      </c>
      <c r="C11" s="3">
        <f t="shared" ref="C11:C19" si="0">$C$4*B11/100</f>
        <v>12800</v>
      </c>
      <c r="D11" s="3">
        <f>C6*B11/100</f>
        <v>26340.287999999997</v>
      </c>
      <c r="E11" s="3">
        <f>C11+D11</f>
        <v>39140.288</v>
      </c>
    </row>
    <row r="12" spans="1:5" x14ac:dyDescent="0.25">
      <c r="A12" s="12">
        <v>2</v>
      </c>
      <c r="B12" s="3">
        <f t="shared" ref="B12:B19" si="1">B11-D11</f>
        <v>613659.71200000006</v>
      </c>
      <c r="C12" s="3">
        <f t="shared" si="0"/>
        <v>12273.194240000001</v>
      </c>
      <c r="D12" s="3">
        <f t="shared" ref="D12:D19" si="2">$C$7-C12</f>
        <v>26867.09376</v>
      </c>
      <c r="E12" s="3">
        <f t="shared" ref="E12:E30" si="3">C12+D12</f>
        <v>39140.288</v>
      </c>
    </row>
    <row r="13" spans="1:5" x14ac:dyDescent="0.25">
      <c r="A13" s="12">
        <v>3</v>
      </c>
      <c r="B13" s="3">
        <f t="shared" si="1"/>
        <v>586792.6182400001</v>
      </c>
      <c r="C13" s="3">
        <f t="shared" si="0"/>
        <v>11735.852364800003</v>
      </c>
      <c r="D13" s="3">
        <f t="shared" si="2"/>
        <v>27404.435635199996</v>
      </c>
      <c r="E13" s="3">
        <f t="shared" si="3"/>
        <v>39140.288</v>
      </c>
    </row>
    <row r="14" spans="1:5" x14ac:dyDescent="0.25">
      <c r="A14" s="12">
        <v>4</v>
      </c>
      <c r="B14" s="3">
        <f t="shared" si="1"/>
        <v>559388.18260480009</v>
      </c>
      <c r="C14" s="3">
        <f t="shared" si="0"/>
        <v>11187.763652096002</v>
      </c>
      <c r="D14" s="3">
        <f t="shared" si="2"/>
        <v>27952.524347904</v>
      </c>
      <c r="E14" s="3">
        <f t="shared" si="3"/>
        <v>39140.288</v>
      </c>
    </row>
    <row r="15" spans="1:5" x14ac:dyDescent="0.25">
      <c r="A15" s="12">
        <v>5</v>
      </c>
      <c r="B15" s="3">
        <f t="shared" si="1"/>
        <v>531435.65825689607</v>
      </c>
      <c r="C15" s="3">
        <f t="shared" si="0"/>
        <v>10628.713165137922</v>
      </c>
      <c r="D15" s="3">
        <f t="shared" si="2"/>
        <v>28511.574834862076</v>
      </c>
      <c r="E15" s="3">
        <f t="shared" si="3"/>
        <v>39140.288</v>
      </c>
    </row>
    <row r="16" spans="1:5" x14ac:dyDescent="0.25">
      <c r="A16" s="12">
        <v>6</v>
      </c>
      <c r="B16" s="3">
        <f t="shared" si="1"/>
        <v>502924.08342203399</v>
      </c>
      <c r="C16" s="3">
        <f t="shared" si="0"/>
        <v>10058.48166844068</v>
      </c>
      <c r="D16" s="3">
        <f t="shared" si="2"/>
        <v>29081.806331559321</v>
      </c>
      <c r="E16" s="3">
        <f t="shared" si="3"/>
        <v>39140.288</v>
      </c>
    </row>
    <row r="17" spans="1:5" x14ac:dyDescent="0.25">
      <c r="A17" s="12">
        <v>7</v>
      </c>
      <c r="B17" s="3">
        <f t="shared" si="1"/>
        <v>473842.27709047467</v>
      </c>
      <c r="C17" s="3">
        <f t="shared" si="0"/>
        <v>9476.8455418094927</v>
      </c>
      <c r="D17" s="3">
        <f t="shared" si="2"/>
        <v>29663.442458190508</v>
      </c>
      <c r="E17" s="3">
        <f t="shared" si="3"/>
        <v>39140.288</v>
      </c>
    </row>
    <row r="18" spans="1:5" x14ac:dyDescent="0.25">
      <c r="A18" s="12">
        <v>8</v>
      </c>
      <c r="B18" s="3">
        <f t="shared" si="1"/>
        <v>444178.83463228418</v>
      </c>
      <c r="C18" s="3">
        <f t="shared" si="0"/>
        <v>8883.5766926456836</v>
      </c>
      <c r="D18" s="3">
        <f t="shared" si="2"/>
        <v>30256.711307354315</v>
      </c>
      <c r="E18" s="3">
        <f t="shared" si="3"/>
        <v>39140.288</v>
      </c>
    </row>
    <row r="19" spans="1:5" x14ac:dyDescent="0.25">
      <c r="A19" s="12">
        <v>9</v>
      </c>
      <c r="B19" s="3">
        <f t="shared" si="1"/>
        <v>413922.12332492985</v>
      </c>
      <c r="C19" s="3">
        <f t="shared" si="0"/>
        <v>8278.4424664985963</v>
      </c>
      <c r="D19" s="3">
        <f t="shared" si="2"/>
        <v>30861.845533501404</v>
      </c>
      <c r="E19" s="3">
        <f t="shared" si="3"/>
        <v>39140.288</v>
      </c>
    </row>
    <row r="20" spans="1:5" x14ac:dyDescent="0.25">
      <c r="A20" s="13">
        <v>10</v>
      </c>
      <c r="B20" s="3">
        <f t="shared" ref="B20:B30" si="4">B19-D19</f>
        <v>383060.27779142844</v>
      </c>
      <c r="C20" s="3">
        <f t="shared" ref="C20:C30" si="5">$C$4*B20/100</f>
        <v>7661.2055558285683</v>
      </c>
      <c r="D20" s="3">
        <f t="shared" ref="D20:D30" si="6">$C$7-C20</f>
        <v>31479.082444171432</v>
      </c>
      <c r="E20" s="3">
        <f t="shared" si="3"/>
        <v>39140.288</v>
      </c>
    </row>
    <row r="21" spans="1:5" x14ac:dyDescent="0.25">
      <c r="A21" s="12">
        <v>11</v>
      </c>
      <c r="B21" s="3">
        <f t="shared" si="4"/>
        <v>351581.19534725702</v>
      </c>
      <c r="C21" s="3">
        <f t="shared" si="5"/>
        <v>7031.6239069451403</v>
      </c>
      <c r="D21" s="3">
        <f t="shared" si="6"/>
        <v>32108.66409305486</v>
      </c>
      <c r="E21" s="3">
        <f t="shared" si="3"/>
        <v>39140.288</v>
      </c>
    </row>
    <row r="22" spans="1:5" x14ac:dyDescent="0.25">
      <c r="A22" s="12">
        <v>12</v>
      </c>
      <c r="B22" s="3">
        <f t="shared" si="4"/>
        <v>319472.53125420213</v>
      </c>
      <c r="C22" s="3">
        <f t="shared" si="5"/>
        <v>6389.4506250840423</v>
      </c>
      <c r="D22" s="3">
        <f t="shared" si="6"/>
        <v>32750.837374915958</v>
      </c>
      <c r="E22" s="3">
        <f t="shared" si="3"/>
        <v>39140.288</v>
      </c>
    </row>
    <row r="23" spans="1:5" x14ac:dyDescent="0.25">
      <c r="A23" s="12">
        <v>13</v>
      </c>
      <c r="B23" s="3">
        <f t="shared" si="4"/>
        <v>286721.69387928618</v>
      </c>
      <c r="C23" s="3">
        <f t="shared" si="5"/>
        <v>5734.4338775857232</v>
      </c>
      <c r="D23" s="3">
        <f t="shared" si="6"/>
        <v>33405.854122414275</v>
      </c>
      <c r="E23" s="3">
        <f t="shared" si="3"/>
        <v>39140.288</v>
      </c>
    </row>
    <row r="24" spans="1:5" x14ac:dyDescent="0.25">
      <c r="A24" s="12">
        <v>14</v>
      </c>
      <c r="B24" s="3">
        <f t="shared" si="4"/>
        <v>253315.83975687189</v>
      </c>
      <c r="C24" s="3">
        <f t="shared" si="5"/>
        <v>5066.316795137438</v>
      </c>
      <c r="D24" s="3">
        <f t="shared" si="6"/>
        <v>34073.971204862566</v>
      </c>
      <c r="E24" s="3">
        <f t="shared" si="3"/>
        <v>39140.288</v>
      </c>
    </row>
    <row r="25" spans="1:5" x14ac:dyDescent="0.25">
      <c r="A25" s="12">
        <v>15</v>
      </c>
      <c r="B25" s="3">
        <f t="shared" si="4"/>
        <v>219241.86855200934</v>
      </c>
      <c r="C25" s="3">
        <f t="shared" si="5"/>
        <v>4384.8373710401866</v>
      </c>
      <c r="D25" s="3">
        <f t="shared" si="6"/>
        <v>34755.450628959814</v>
      </c>
      <c r="E25" s="3">
        <f t="shared" si="3"/>
        <v>39140.288</v>
      </c>
    </row>
    <row r="26" spans="1:5" x14ac:dyDescent="0.25">
      <c r="A26" s="12">
        <v>16</v>
      </c>
      <c r="B26" s="3">
        <f t="shared" si="4"/>
        <v>184486.41792304954</v>
      </c>
      <c r="C26" s="3">
        <f t="shared" si="5"/>
        <v>3689.7283584609909</v>
      </c>
      <c r="D26" s="3">
        <f t="shared" si="6"/>
        <v>35450.55964153901</v>
      </c>
      <c r="E26" s="3">
        <f t="shared" si="3"/>
        <v>39140.288</v>
      </c>
    </row>
    <row r="27" spans="1:5" x14ac:dyDescent="0.25">
      <c r="A27" s="12">
        <v>17</v>
      </c>
      <c r="B27" s="3">
        <f t="shared" si="4"/>
        <v>149035.85828151053</v>
      </c>
      <c r="C27" s="3">
        <f t="shared" si="5"/>
        <v>2980.7171656302107</v>
      </c>
      <c r="D27" s="3">
        <f t="shared" si="6"/>
        <v>36159.570834369792</v>
      </c>
      <c r="E27" s="3">
        <f t="shared" si="3"/>
        <v>39140.288</v>
      </c>
    </row>
    <row r="28" spans="1:5" x14ac:dyDescent="0.25">
      <c r="A28" s="12">
        <v>18</v>
      </c>
      <c r="B28" s="3">
        <f t="shared" si="4"/>
        <v>112876.28744714074</v>
      </c>
      <c r="C28" s="3">
        <f t="shared" si="5"/>
        <v>2257.525748942815</v>
      </c>
      <c r="D28" s="3">
        <f t="shared" si="6"/>
        <v>36882.762251057182</v>
      </c>
      <c r="E28" s="3">
        <f t="shared" si="3"/>
        <v>39140.288</v>
      </c>
    </row>
    <row r="29" spans="1:5" x14ac:dyDescent="0.25">
      <c r="A29" s="12">
        <v>19</v>
      </c>
      <c r="B29" s="3">
        <f t="shared" si="4"/>
        <v>75993.525196083559</v>
      </c>
      <c r="C29" s="3">
        <f t="shared" si="5"/>
        <v>1519.8705039216711</v>
      </c>
      <c r="D29" s="3">
        <f t="shared" si="6"/>
        <v>37620.417496078328</v>
      </c>
      <c r="E29" s="3">
        <f t="shared" si="3"/>
        <v>39140.288</v>
      </c>
    </row>
    <row r="30" spans="1:5" x14ac:dyDescent="0.25">
      <c r="A30" s="12">
        <v>20</v>
      </c>
      <c r="B30" s="3">
        <f t="shared" si="4"/>
        <v>38373.107700005232</v>
      </c>
      <c r="C30" s="3">
        <f t="shared" si="5"/>
        <v>767.46215400010465</v>
      </c>
      <c r="D30" s="3">
        <f t="shared" si="6"/>
        <v>38372.825845999898</v>
      </c>
      <c r="E30" s="3">
        <f t="shared" si="3"/>
        <v>39140.288</v>
      </c>
    </row>
    <row r="31" spans="1:5" x14ac:dyDescent="0.25">
      <c r="A31" s="12">
        <v>21</v>
      </c>
      <c r="B31" s="3">
        <f t="shared" ref="B31" si="7">B30-D30</f>
        <v>0.28185400533402571</v>
      </c>
      <c r="C31" s="3">
        <f t="shared" ref="C31" si="8">$C$4*B31/100</f>
        <v>5.6370801066805143E-3</v>
      </c>
      <c r="D31" s="3"/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0"/>
  <sheetViews>
    <sheetView zoomScale="135" zoomScaleNormal="135" workbookViewId="0">
      <selection activeCell="F18" sqref="F18"/>
    </sheetView>
  </sheetViews>
  <sheetFormatPr baseColWidth="10" defaultRowHeight="13.2" x14ac:dyDescent="0.25"/>
  <cols>
    <col min="1" max="1" width="3" customWidth="1"/>
    <col min="2" max="2" width="14.21875" customWidth="1"/>
    <col min="3" max="3" width="11.6640625" customWidth="1"/>
    <col min="4" max="4" width="9.5546875" customWidth="1"/>
    <col min="6" max="6" width="20.5546875" customWidth="1"/>
  </cols>
  <sheetData>
    <row r="2" spans="2:8" x14ac:dyDescent="0.25">
      <c r="B2" s="2" t="s">
        <v>0</v>
      </c>
      <c r="D2" s="11" t="s">
        <v>82</v>
      </c>
      <c r="F2" s="2" t="s">
        <v>103</v>
      </c>
      <c r="G2" s="2"/>
      <c r="H2" s="2"/>
    </row>
    <row r="3" spans="2:8" x14ac:dyDescent="0.25">
      <c r="B3" t="s">
        <v>15</v>
      </c>
      <c r="C3" s="3">
        <f>iWoDat!$D$17</f>
        <v>640000</v>
      </c>
      <c r="D3" s="55"/>
      <c r="E3" s="33"/>
      <c r="F3" s="33" t="s">
        <v>105</v>
      </c>
      <c r="G3" s="33">
        <v>20</v>
      </c>
    </row>
    <row r="4" spans="2:8" x14ac:dyDescent="0.25">
      <c r="B4" t="s">
        <v>83</v>
      </c>
      <c r="C4" s="3">
        <f>C3*G9/100</f>
        <v>64000</v>
      </c>
      <c r="D4" s="56" t="s">
        <v>104</v>
      </c>
      <c r="F4" t="s">
        <v>106</v>
      </c>
      <c r="G4">
        <v>3</v>
      </c>
    </row>
    <row r="5" spans="2:8" ht="15.6" x14ac:dyDescent="0.35">
      <c r="B5" t="s">
        <v>84</v>
      </c>
      <c r="C5" s="22">
        <v>-0.52</v>
      </c>
      <c r="D5" s="56" t="s">
        <v>85</v>
      </c>
      <c r="F5" t="s">
        <v>107</v>
      </c>
      <c r="G5">
        <v>10</v>
      </c>
    </row>
    <row r="6" spans="2:8" ht="15.6" x14ac:dyDescent="0.35">
      <c r="B6" t="s">
        <v>86</v>
      </c>
      <c r="C6" s="22">
        <f>G6</f>
        <v>0.75</v>
      </c>
      <c r="D6" s="56" t="s">
        <v>87</v>
      </c>
      <c r="F6" t="s">
        <v>100</v>
      </c>
      <c r="G6">
        <v>0.75</v>
      </c>
    </row>
    <row r="7" spans="2:8" ht="15.6" x14ac:dyDescent="0.35">
      <c r="B7" t="s">
        <v>88</v>
      </c>
      <c r="C7" s="6">
        <v>4</v>
      </c>
      <c r="D7" s="56" t="s">
        <v>89</v>
      </c>
      <c r="F7" t="s">
        <v>108</v>
      </c>
      <c r="G7">
        <v>6.21</v>
      </c>
    </row>
    <row r="8" spans="2:8" x14ac:dyDescent="0.25">
      <c r="B8" s="1" t="s">
        <v>110</v>
      </c>
      <c r="C8" s="10">
        <v>0</v>
      </c>
      <c r="D8" s="56" t="s">
        <v>90</v>
      </c>
      <c r="F8" t="s">
        <v>101</v>
      </c>
      <c r="G8" s="18" t="s">
        <v>102</v>
      </c>
    </row>
    <row r="9" spans="2:8" x14ac:dyDescent="0.25">
      <c r="B9" s="1" t="s">
        <v>111</v>
      </c>
      <c r="C9" s="57">
        <v>6.21</v>
      </c>
      <c r="D9" s="56" t="s">
        <v>91</v>
      </c>
      <c r="E9" s="33"/>
      <c r="F9" t="s">
        <v>109</v>
      </c>
      <c r="G9" s="61">
        <v>10</v>
      </c>
    </row>
    <row r="10" spans="2:8" x14ac:dyDescent="0.25">
      <c r="B10" s="1" t="s">
        <v>112</v>
      </c>
      <c r="C10" s="57">
        <v>8.3291000000000004</v>
      </c>
      <c r="D10" s="56" t="s">
        <v>92</v>
      </c>
      <c r="F10" s="33"/>
      <c r="G10" s="33"/>
    </row>
    <row r="11" spans="2:8" ht="15.6" x14ac:dyDescent="0.35">
      <c r="B11" t="s">
        <v>93</v>
      </c>
      <c r="C11" s="22">
        <f>C20+D20</f>
        <v>4800</v>
      </c>
      <c r="D11" s="56" t="s">
        <v>85</v>
      </c>
    </row>
    <row r="12" spans="2:8" ht="15.6" x14ac:dyDescent="0.35">
      <c r="B12" t="s">
        <v>94</v>
      </c>
      <c r="C12" s="58">
        <v>40109.760000000002</v>
      </c>
      <c r="D12" s="56" t="s">
        <v>85</v>
      </c>
      <c r="E12" s="33"/>
    </row>
    <row r="13" spans="2:8" ht="15.6" x14ac:dyDescent="0.35">
      <c r="B13" t="s">
        <v>95</v>
      </c>
      <c r="C13" s="22">
        <f>C30+D30</f>
        <v>39423.998772793369</v>
      </c>
      <c r="D13" s="56" t="s">
        <v>96</v>
      </c>
      <c r="F13" s="33"/>
      <c r="G13" s="33"/>
    </row>
    <row r="14" spans="2:8" x14ac:dyDescent="0.25">
      <c r="B14" t="s">
        <v>97</v>
      </c>
      <c r="C14" s="22">
        <v>1.5</v>
      </c>
      <c r="D14" s="56" t="s">
        <v>98</v>
      </c>
    </row>
    <row r="15" spans="2:8" x14ac:dyDescent="0.25">
      <c r="B15" t="s">
        <v>99</v>
      </c>
      <c r="C15" s="3">
        <f>iWoDat!$D$3*iWoDat!$D$12</f>
        <v>400000</v>
      </c>
      <c r="D15" s="56" t="s">
        <v>96</v>
      </c>
    </row>
    <row r="16" spans="2:8" x14ac:dyDescent="0.25">
      <c r="B16" s="1" t="s">
        <v>113</v>
      </c>
      <c r="C16" s="22">
        <f>(C14-C5)*C15/100</f>
        <v>8080</v>
      </c>
      <c r="D16" s="56" t="s">
        <v>96</v>
      </c>
      <c r="E16" s="3"/>
    </row>
    <row r="17" spans="1:5" x14ac:dyDescent="0.25">
      <c r="C17" s="22"/>
      <c r="D17" s="56"/>
      <c r="E17" s="3"/>
    </row>
    <row r="19" spans="1:5" x14ac:dyDescent="0.25">
      <c r="A19" s="11" t="s">
        <v>27</v>
      </c>
      <c r="B19" s="11" t="s">
        <v>28</v>
      </c>
      <c r="C19" s="11" t="s">
        <v>29</v>
      </c>
      <c r="D19" s="11" t="s">
        <v>30</v>
      </c>
      <c r="E19" s="11" t="s">
        <v>66</v>
      </c>
    </row>
    <row r="20" spans="1:5" x14ac:dyDescent="0.25">
      <c r="A20" s="12">
        <v>1</v>
      </c>
      <c r="B20" s="3">
        <f>$C$3</f>
        <v>640000</v>
      </c>
      <c r="C20" s="22">
        <f t="shared" ref="C20:C29" si="0">$C$6*B20/100</f>
        <v>4800</v>
      </c>
      <c r="D20" s="3">
        <f>$C$8*C3/100</f>
        <v>0</v>
      </c>
      <c r="E20" s="3">
        <f>C20+D20</f>
        <v>4800</v>
      </c>
    </row>
    <row r="21" spans="1:5" x14ac:dyDescent="0.25">
      <c r="A21" s="12">
        <v>2</v>
      </c>
      <c r="B21" s="3">
        <v>576000</v>
      </c>
      <c r="C21" s="22">
        <f t="shared" si="0"/>
        <v>4320</v>
      </c>
      <c r="D21" s="3">
        <v>0</v>
      </c>
      <c r="E21" s="3">
        <f t="shared" ref="E21:E39" si="1">C21+D21</f>
        <v>4320</v>
      </c>
    </row>
    <row r="22" spans="1:5" x14ac:dyDescent="0.25">
      <c r="A22" s="13">
        <v>3</v>
      </c>
      <c r="B22" s="59">
        <v>576000</v>
      </c>
      <c r="C22" s="60">
        <f t="shared" si="0"/>
        <v>4320</v>
      </c>
      <c r="D22" s="59">
        <v>0</v>
      </c>
      <c r="E22" s="59">
        <f t="shared" si="1"/>
        <v>4320</v>
      </c>
    </row>
    <row r="23" spans="1:5" x14ac:dyDescent="0.25">
      <c r="A23" s="12">
        <v>4</v>
      </c>
      <c r="B23" s="3">
        <f>B22-D22</f>
        <v>576000</v>
      </c>
      <c r="C23" s="22">
        <f t="shared" si="0"/>
        <v>4320</v>
      </c>
      <c r="D23" s="3">
        <f>$C$12-C23</f>
        <v>35789.760000000002</v>
      </c>
      <c r="E23" s="3">
        <f t="shared" si="1"/>
        <v>40109.760000000002</v>
      </c>
    </row>
    <row r="24" spans="1:5" x14ac:dyDescent="0.25">
      <c r="A24" s="12">
        <v>5</v>
      </c>
      <c r="B24" s="3">
        <f t="shared" ref="B23:B40" si="2">B23-D23</f>
        <v>540210.24</v>
      </c>
      <c r="C24" s="22">
        <f t="shared" si="0"/>
        <v>4051.5767999999998</v>
      </c>
      <c r="D24" s="3">
        <f t="shared" ref="D24:D29" si="3">$C$12-C24</f>
        <v>36058.183199999999</v>
      </c>
      <c r="E24" s="3">
        <f t="shared" si="1"/>
        <v>40109.760000000002</v>
      </c>
    </row>
    <row r="25" spans="1:5" x14ac:dyDescent="0.25">
      <c r="A25" s="12">
        <v>6</v>
      </c>
      <c r="B25" s="3">
        <f t="shared" si="2"/>
        <v>504152.05680000002</v>
      </c>
      <c r="C25" s="22">
        <f t="shared" si="0"/>
        <v>3781.1404260000004</v>
      </c>
      <c r="D25" s="3">
        <f t="shared" si="3"/>
        <v>36328.619574000004</v>
      </c>
      <c r="E25" s="3">
        <f t="shared" si="1"/>
        <v>40109.760000000002</v>
      </c>
    </row>
    <row r="26" spans="1:5" x14ac:dyDescent="0.25">
      <c r="A26" s="12">
        <v>7</v>
      </c>
      <c r="B26" s="3">
        <f t="shared" si="2"/>
        <v>467823.43722600001</v>
      </c>
      <c r="C26" s="22">
        <f t="shared" si="0"/>
        <v>3508.6757791949999</v>
      </c>
      <c r="D26" s="3">
        <f t="shared" si="3"/>
        <v>36601.084220805002</v>
      </c>
      <c r="E26" s="3">
        <f t="shared" si="1"/>
        <v>40109.760000000002</v>
      </c>
    </row>
    <row r="27" spans="1:5" x14ac:dyDescent="0.25">
      <c r="A27" s="12">
        <v>8</v>
      </c>
      <c r="B27" s="3">
        <f t="shared" si="2"/>
        <v>431222.35300519504</v>
      </c>
      <c r="C27" s="22">
        <f t="shared" si="0"/>
        <v>3234.1676475389627</v>
      </c>
      <c r="D27" s="3">
        <f t="shared" si="3"/>
        <v>36875.592352461041</v>
      </c>
      <c r="E27" s="3">
        <f t="shared" si="1"/>
        <v>40109.760000000002</v>
      </c>
    </row>
    <row r="28" spans="1:5" x14ac:dyDescent="0.25">
      <c r="A28" s="12">
        <v>9</v>
      </c>
      <c r="B28" s="3">
        <f t="shared" si="2"/>
        <v>394346.76065273397</v>
      </c>
      <c r="C28" s="22">
        <f t="shared" si="0"/>
        <v>2957.6007048955048</v>
      </c>
      <c r="D28" s="3">
        <f t="shared" si="3"/>
        <v>37152.159295104495</v>
      </c>
      <c r="E28" s="3">
        <f t="shared" si="1"/>
        <v>40109.760000000002</v>
      </c>
    </row>
    <row r="29" spans="1:5" x14ac:dyDescent="0.25">
      <c r="A29" s="13">
        <v>10</v>
      </c>
      <c r="B29" s="59">
        <f t="shared" si="2"/>
        <v>357194.60135762946</v>
      </c>
      <c r="C29" s="60">
        <f t="shared" si="0"/>
        <v>2678.959510182221</v>
      </c>
      <c r="D29" s="59">
        <f t="shared" si="3"/>
        <v>37430.800489817782</v>
      </c>
      <c r="E29" s="59">
        <f t="shared" si="1"/>
        <v>40109.760000000002</v>
      </c>
    </row>
    <row r="30" spans="1:5" x14ac:dyDescent="0.25">
      <c r="A30" s="12">
        <v>11</v>
      </c>
      <c r="B30" s="3">
        <f t="shared" si="2"/>
        <v>319763.80086781166</v>
      </c>
      <c r="C30" s="22">
        <f>$C$7*B30/100</f>
        <v>12790.552034712466</v>
      </c>
      <c r="D30" s="3">
        <f>B30*C10/100</f>
        <v>26633.446738080904</v>
      </c>
      <c r="E30" s="3">
        <f t="shared" si="1"/>
        <v>39423.998772793369</v>
      </c>
    </row>
    <row r="31" spans="1:5" x14ac:dyDescent="0.25">
      <c r="A31" s="12">
        <v>12</v>
      </c>
      <c r="B31" s="3">
        <f t="shared" si="2"/>
        <v>293130.35412973078</v>
      </c>
      <c r="C31" s="22">
        <f t="shared" ref="C31:C39" si="4">$C$7*B31/100</f>
        <v>11725.214165189231</v>
      </c>
      <c r="D31" s="3">
        <f t="shared" ref="D31:D39" si="5">$C$13-C31</f>
        <v>27698.784607604139</v>
      </c>
      <c r="E31" s="3">
        <f t="shared" si="1"/>
        <v>39423.998772793369</v>
      </c>
    </row>
    <row r="32" spans="1:5" x14ac:dyDescent="0.25">
      <c r="A32" s="12">
        <v>13</v>
      </c>
      <c r="B32" s="3">
        <f t="shared" si="2"/>
        <v>265431.56952212664</v>
      </c>
      <c r="C32" s="22">
        <f t="shared" si="4"/>
        <v>10617.262780885065</v>
      </c>
      <c r="D32" s="3">
        <f t="shared" si="5"/>
        <v>28806.735991908303</v>
      </c>
      <c r="E32" s="3">
        <f t="shared" si="1"/>
        <v>39423.998772793369</v>
      </c>
    </row>
    <row r="33" spans="1:5" x14ac:dyDescent="0.25">
      <c r="A33" s="12">
        <v>14</v>
      </c>
      <c r="B33" s="3">
        <f t="shared" si="2"/>
        <v>236624.83353021834</v>
      </c>
      <c r="C33" s="22">
        <f t="shared" si="4"/>
        <v>9464.9933412087339</v>
      </c>
      <c r="D33" s="3">
        <f t="shared" si="5"/>
        <v>29959.005431584636</v>
      </c>
      <c r="E33" s="3">
        <f t="shared" si="1"/>
        <v>39423.998772793369</v>
      </c>
    </row>
    <row r="34" spans="1:5" x14ac:dyDescent="0.25">
      <c r="A34" s="62">
        <v>15</v>
      </c>
      <c r="B34" s="63">
        <f t="shared" si="2"/>
        <v>206665.8280986337</v>
      </c>
      <c r="C34" s="64">
        <f t="shared" si="4"/>
        <v>8266.6331239453484</v>
      </c>
      <c r="D34" s="63">
        <f t="shared" si="5"/>
        <v>31157.365648848019</v>
      </c>
      <c r="E34" s="63">
        <f t="shared" si="1"/>
        <v>39423.998772793369</v>
      </c>
    </row>
    <row r="35" spans="1:5" x14ac:dyDescent="0.25">
      <c r="A35" s="12">
        <v>16</v>
      </c>
      <c r="B35" s="8">
        <f t="shared" si="2"/>
        <v>175508.46244978567</v>
      </c>
      <c r="C35" s="22">
        <f t="shared" si="4"/>
        <v>7020.3384979914272</v>
      </c>
      <c r="D35" s="3">
        <f t="shared" si="5"/>
        <v>32403.660274801943</v>
      </c>
      <c r="E35" s="3">
        <f t="shared" si="1"/>
        <v>39423.998772793369</v>
      </c>
    </row>
    <row r="36" spans="1:5" x14ac:dyDescent="0.25">
      <c r="A36" s="12">
        <v>17</v>
      </c>
      <c r="B36" s="8">
        <f t="shared" si="2"/>
        <v>143104.80217498372</v>
      </c>
      <c r="C36" s="22">
        <f t="shared" si="4"/>
        <v>5724.1920869993492</v>
      </c>
      <c r="D36" s="3">
        <f t="shared" si="5"/>
        <v>33699.806685794021</v>
      </c>
      <c r="E36" s="3">
        <f t="shared" si="1"/>
        <v>39423.998772793369</v>
      </c>
    </row>
    <row r="37" spans="1:5" x14ac:dyDescent="0.25">
      <c r="A37" s="12">
        <v>18</v>
      </c>
      <c r="B37" s="8">
        <f t="shared" si="2"/>
        <v>109404.99548918969</v>
      </c>
      <c r="C37" s="22">
        <f t="shared" si="4"/>
        <v>4376.1998195675878</v>
      </c>
      <c r="D37" s="3">
        <f t="shared" si="5"/>
        <v>35047.798953225778</v>
      </c>
      <c r="E37" s="3">
        <f t="shared" si="1"/>
        <v>39423.998772793362</v>
      </c>
    </row>
    <row r="38" spans="1:5" x14ac:dyDescent="0.25">
      <c r="A38" s="12">
        <v>19</v>
      </c>
      <c r="B38" s="8">
        <f t="shared" si="2"/>
        <v>74357.196535963914</v>
      </c>
      <c r="C38" s="22">
        <f t="shared" si="4"/>
        <v>2974.2878614385568</v>
      </c>
      <c r="D38" s="3">
        <f t="shared" si="5"/>
        <v>36449.710911354814</v>
      </c>
      <c r="E38" s="3">
        <f t="shared" si="1"/>
        <v>39423.998772793369</v>
      </c>
    </row>
    <row r="39" spans="1:5" x14ac:dyDescent="0.25">
      <c r="A39" s="12">
        <v>20</v>
      </c>
      <c r="B39" s="8">
        <f t="shared" si="2"/>
        <v>37907.4856246091</v>
      </c>
      <c r="C39" s="22">
        <f t="shared" si="4"/>
        <v>1516.2994249843641</v>
      </c>
      <c r="D39" s="3">
        <f t="shared" si="5"/>
        <v>37907.699347809008</v>
      </c>
      <c r="E39" s="3">
        <f t="shared" si="1"/>
        <v>39423.998772793369</v>
      </c>
    </row>
    <row r="40" spans="1:5" x14ac:dyDescent="0.25">
      <c r="A40" s="12">
        <v>21</v>
      </c>
      <c r="B40" s="8">
        <f t="shared" si="2"/>
        <v>-0.21372319990769029</v>
      </c>
      <c r="C40" s="3"/>
      <c r="D40" s="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iWoDat</vt:lpstr>
      <vt:lpstr>iWoTab GK</vt:lpstr>
      <vt:lpstr>iWoTab EK</vt:lpstr>
      <vt:lpstr>iWoTab EK KfW</vt:lpstr>
      <vt:lpstr>iWoTab EKSt</vt:lpstr>
      <vt:lpstr>iWoTab GK (NichtVerk)</vt:lpstr>
      <vt:lpstr>iWoDarl</vt:lpstr>
      <vt:lpstr>iWoDarl2</vt:lpstr>
    </vt:vector>
  </TitlesOfParts>
  <Company>fffff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Kofner</dc:creator>
  <cp:lastModifiedBy>Kofner</cp:lastModifiedBy>
  <cp:lastPrinted>2005-07-10T08:02:46Z</cp:lastPrinted>
  <dcterms:created xsi:type="dcterms:W3CDTF">2005-07-08T16:37:29Z</dcterms:created>
  <dcterms:modified xsi:type="dcterms:W3CDTF">2015-02-14T01:21:37Z</dcterms:modified>
</cp:coreProperties>
</file>